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 2010г.разверн. вар-т" sheetId="1" r:id="rId1"/>
  </sheets>
  <definedNames>
    <definedName name="_xlnm.Print_Titles" localSheetId="0">'за 2010г.разверн. вар-т'!$14:$14</definedName>
  </definedNames>
  <calcPr fullCalcOnLoad="1"/>
</workbook>
</file>

<file path=xl/sharedStrings.xml><?xml version="1.0" encoding="utf-8"?>
<sst xmlns="http://schemas.openxmlformats.org/spreadsheetml/2006/main" count="223" uniqueCount="210">
  <si>
    <t>(тыс. руб.)</t>
  </si>
  <si>
    <t>Наименование доходов и расходов</t>
  </si>
  <si>
    <t>Доходы</t>
  </si>
  <si>
    <t>Безвозмездные перечисления</t>
  </si>
  <si>
    <t>в том числе:</t>
  </si>
  <si>
    <t xml:space="preserve">                                                                                                                                    </t>
  </si>
  <si>
    <t xml:space="preserve">Исполнено </t>
  </si>
  <si>
    <t>Ожидаемое поступление 4 кв. 2006 года</t>
  </si>
  <si>
    <t>Отклоне-ния                        (гр.3-2)</t>
  </si>
  <si>
    <t>Процент исполне-ния</t>
  </si>
  <si>
    <t>к решению  Совета городского округа</t>
  </si>
  <si>
    <t>город Салават Республики Башкортостан</t>
  </si>
  <si>
    <t>Приложение 1</t>
  </si>
  <si>
    <t>"Об исполнении  бюджета  городского округа</t>
  </si>
  <si>
    <t>Единый налог на вмененный доход для отдельных видов деятельности</t>
  </si>
  <si>
    <t>Единый сельскохозяйственный налог</t>
  </si>
  <si>
    <t>субвенции бюджетам гор округов на предоставление гражданам субсидий на оплату ЖКУ</t>
  </si>
  <si>
    <t>Прочие субсидии бюджетам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</si>
  <si>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</si>
  <si>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субсидии бюджетам гороских округов на денежные выплаты медецинскому персоналу фельшерско-акушерских пунктов, врачам, фельшерам и медицинским сестрам скорой помощи</t>
  </si>
  <si>
    <t>субсидии бюджетам городских округов на внедрение инновационных образовательных программ</t>
  </si>
  <si>
    <t>субсидии бюджетам городских округов на обеспечение жильем молодых семей</t>
  </si>
  <si>
    <t>субсидии бюджетам городских округов на комплектование книжных фондовбиблиотек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</si>
  <si>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</si>
  <si>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</si>
  <si>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РФ</t>
  </si>
  <si>
    <t>субвенции бюджетам городских округов на поощрение лучших учителей</t>
  </si>
  <si>
    <t>На выплату единовременных пособий при всех формах устройства детей, лишенных родительского попечения в семью</t>
  </si>
  <si>
    <t>субвенции бюджетам гороских округов на ежемесячное денежное вознагрождения на ежемесяч денежное вознагрождения за классное руководство</t>
  </si>
  <si>
    <t>субвенции на осуществление мер  соц. поддержки  многодетных семей в обеспечении бесплатным питанием, шк. формой.</t>
  </si>
  <si>
    <t>Субвенции на оплату труда работников общеобразовательных учреждений</t>
  </si>
  <si>
    <t>Субвенции на социальную поддержку детей-сирот</t>
  </si>
  <si>
    <t>Субвенции на выплату пособий на детей,находящихся под опекой</t>
  </si>
  <si>
    <t>Субвенции на создание и обеспечение деятельности комиссии по делам несовершеннолетних и защите их прав</t>
  </si>
  <si>
    <t>субвенции на социальную поддержку детей сирот по выплате ежемесячного пособия на содержания детей, переданных на воспитание в приемную или патронатную семью, а также по оплате труда приемных родителей и патронатных воспитателей</t>
  </si>
  <si>
    <t xml:space="preserve">Субвенции на создание и обеспечение деятельности административных комиссий </t>
  </si>
  <si>
    <t>Субвенции на организацию и осуществление деятельности по опеке и попечительству</t>
  </si>
  <si>
    <t>Выплата пособия на содержание детей в семьях опекунов</t>
  </si>
  <si>
    <t>Субвенции бюджетам городских округов на внедрение инновационных образовательных программ</t>
  </si>
  <si>
    <t>На выплату компенсации части родит. Платы за содержание ребенка</t>
  </si>
  <si>
    <t>прочие безвозмездные поступления в бюджеты городских округов от бюджетов субъектов РФ</t>
  </si>
  <si>
    <t>Итого налоговые и неналоговые доходы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</si>
  <si>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</si>
  <si>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Налог на добычу общераспространенных полезных ископаемых</t>
  </si>
  <si>
    <t>Плата за негативное воздействие на окружающую среду</t>
  </si>
  <si>
    <t>Доходы бюджетов городских округов от возврата остатков субсидий и субвенций прошлых лет небюджетными организациями</t>
  </si>
  <si>
    <t>101 02010 010000110</t>
  </si>
  <si>
    <t>101 02021 010000110</t>
  </si>
  <si>
    <t>101 02022 010000110</t>
  </si>
  <si>
    <t>101 02030 010000110</t>
  </si>
  <si>
    <t>101 02040 010000110</t>
  </si>
  <si>
    <t>101 02050 010000110</t>
  </si>
  <si>
    <t>105 01040 02 0000 110</t>
  </si>
  <si>
    <t>105 02000 02 0000 110</t>
  </si>
  <si>
    <t>105 03000 01 0000 110</t>
  </si>
  <si>
    <t>106 01020 04 0000 110</t>
  </si>
  <si>
    <t>106 06012 040000110</t>
  </si>
  <si>
    <t>106 06022 040000110</t>
  </si>
  <si>
    <t>105 00000 00 0000 000</t>
  </si>
  <si>
    <t>107 01020 01 0000110</t>
  </si>
  <si>
    <t>107 00000 00 0000000</t>
  </si>
  <si>
    <t>108 03010 010000110</t>
  </si>
  <si>
    <t>108 07140 010000110</t>
  </si>
  <si>
    <t>108 07150 010000110</t>
  </si>
  <si>
    <t>108 07173 010000110</t>
  </si>
  <si>
    <t>109 04050 040000110</t>
  </si>
  <si>
    <t>109 07010 040000110</t>
  </si>
  <si>
    <t>109 07030 040000110</t>
  </si>
  <si>
    <t>109 07050 04 0000110</t>
  </si>
  <si>
    <t>111 05010 04 0000 120</t>
  </si>
  <si>
    <t>111 05024 04 0000 120</t>
  </si>
  <si>
    <t>111 05034 04 0000 120</t>
  </si>
  <si>
    <t>111 07014 04 0000 120</t>
  </si>
  <si>
    <t>111 09034 04 0000 120</t>
  </si>
  <si>
    <t>111 09044 04 0000120</t>
  </si>
  <si>
    <t>112 01000 01 0000120</t>
  </si>
  <si>
    <t>113 03040 04 0000130</t>
  </si>
  <si>
    <t>114 00000 00 0000 000</t>
  </si>
  <si>
    <t>1 14 02033 040000410</t>
  </si>
  <si>
    <t>114 06012 04 0000430</t>
  </si>
  <si>
    <t>116 03010 010000140</t>
  </si>
  <si>
    <t>116 03030 010000140</t>
  </si>
  <si>
    <t>116 06000 010000140</t>
  </si>
  <si>
    <t>116 08000 010000140</t>
  </si>
  <si>
    <t>116 21040 040000140</t>
  </si>
  <si>
    <t>116 25010 010000140</t>
  </si>
  <si>
    <t>116 25030 010000140</t>
  </si>
  <si>
    <t>116 25050 010000140</t>
  </si>
  <si>
    <t>116 25060 010000140</t>
  </si>
  <si>
    <t>116 28000 010000140</t>
  </si>
  <si>
    <t>116 30000 010000140</t>
  </si>
  <si>
    <t>116 90040 040000140</t>
  </si>
  <si>
    <t>117 00000 000000180</t>
  </si>
  <si>
    <t>117 01040 040000180</t>
  </si>
  <si>
    <t>117 05040 040000180</t>
  </si>
  <si>
    <t>118 04010 04 0000 180</t>
  </si>
  <si>
    <t>119 04000 04 0000 151</t>
  </si>
  <si>
    <t>202 02009 04 0000 151</t>
  </si>
  <si>
    <t>202 02008 04 0000 151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</si>
  <si>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</si>
  <si>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от " ___"______________2011 г. № _______</t>
  </si>
  <si>
    <t>город  Салават Республики Башкортостан за 2010г."</t>
  </si>
  <si>
    <t>Уточненный план на 2010 год</t>
  </si>
  <si>
    <t>Отчет об исполнении за 2010 год</t>
  </si>
  <si>
    <t xml:space="preserve">              Доходы бюджета городского округа город Салават Республики Башкортостан  за 2010 год по кодам видов доходов, подвидов доходов, экономической классификации доходов бюджетов </t>
  </si>
  <si>
    <t xml:space="preserve">101 02011 011000 110 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</si>
  <si>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</si>
  <si>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</si>
  <si>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</si>
  <si>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</si>
  <si>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</si>
  <si>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</si>
  <si>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</si>
  <si>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</si>
  <si>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</si>
  <si>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</si>
  <si>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</si>
  <si>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</si>
  <si>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</si>
  <si>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</si>
  <si>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ЗАДОЛЖЕННОСТЬ И ПЕРЕРАСЧЕТЫ ПО ОТМЕНЕННЫМ НАЛОГАМ, СБОРАМ И ИНЫМ ОБЯЗАТЕЛЬНЫМ ПЛАТЕЖАМ</t>
  </si>
  <si>
    <t>Налог на доходы физических лиц</t>
  </si>
  <si>
    <t>НАЛОГИ НА СОВОКУПНЫЙ ДОХОД</t>
  </si>
  <si>
    <t>101 02000 01 0000 000</t>
  </si>
  <si>
    <t>НАЛОГИ НА ИМУЩЕСТВО</t>
  </si>
  <si>
    <t>106 00000 00 0000 000</t>
  </si>
  <si>
    <t>НАЛОГИ, СБОРЫ И РЕГУЛЯРНЫЕ ПЛАТЕЖИ ЗА ПОЛЬЗОВАНИЕ ПРИРОДНЫМИ РЕСУРСАМИ</t>
  </si>
  <si>
    <t>ГОСУДАРСТВЕННАЯ ПОШЛИНА</t>
  </si>
  <si>
    <t>108 00000 00 0000000</t>
  </si>
  <si>
    <t>Земельный налог (по обязательствам, возникшим до 1 января 2006 года), мобилизуемый на территориях городских округов</t>
  </si>
  <si>
    <t>109 00000 000000000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</si>
  <si>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</si>
  <si>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</si>
  <si>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</si>
  <si>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</si>
  <si>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111 00000 00 0000000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</si>
  <si>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</si>
  <si>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</si>
  <si>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</si>
  <si>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</si>
  <si>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</si>
  <si>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ПЛАТЕЖИ ПРИ ПОЛЬЗОВАНИИ ПРИРОДНЫМИ РЕСУРСАМИ</t>
  </si>
  <si>
    <t>112 00000 00 0000000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</si>
  <si>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</si>
  <si>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</si>
  <si>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ПРОДАЖИ МАТЕРИАЛЬНЫХ И НЕМАТЕРИАЛЬНЫХ АКТИВОВ</t>
  </si>
  <si>
    <t>113 00000 00 0000000</t>
  </si>
  <si>
    <t>1 14 03040 040000440</t>
  </si>
  <si>
    <t>Средства от распоряжения и реализации конфискованного и иного имущества, обращенного в доходы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</si>
  <si>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</si>
  <si>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116 00000 00 0000 000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</si>
  <si>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</si>
  <si>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</si>
  <si>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</si>
  <si>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116 03020 020000140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</si>
  <si>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</si>
  <si>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</si>
  <si>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</si>
  <si>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</si>
  <si>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</si>
  <si>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</si>
  <si>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116 25040 010000140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</si>
  <si>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</si>
  <si>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</si>
  <si>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</si>
  <si>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</si>
  <si>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</si>
  <si>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116 33040 040000140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</si>
  <si>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</si>
  <si>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</si>
  <si>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</si>
  <si>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</si>
  <si>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</si>
  <si>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</si>
  <si>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</si>
  <si>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</si>
  <si>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жильем молодых семей</t>
  </si>
  <si>
    <t>202 01003 04 0000 151</t>
  </si>
  <si>
    <t>202 02024 04 0000 151</t>
  </si>
  <si>
    <t>Субсидии бюджетам городских округов на денежные выплаты мед.персоналу фельдшерско-акушерских пунктов, врачам, фельдшерам и мед.сестрам скорой мед.помощи</t>
  </si>
  <si>
    <t>202 02088 04 0001 151</t>
  </si>
  <si>
    <t>Субсидии бюджетам городских округов на обеспечение мероприятий по кап.ремонту многоквартирных домов и переселению граждан из аварийного жилищного фонда за счет средств, поступивших от  государственной корпорации Фонд содействия реформированию жилищно-комунального хозяйства</t>
  </si>
  <si>
    <t>202 02999 04 7101 151</t>
  </si>
  <si>
    <t>202 03002 04 0000 151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</si>
  <si>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</si>
  <si>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</si>
  <si>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</si>
  <si>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202 03021 04 0000 151</t>
  </si>
  <si>
    <t>Субвенции бюджетам городских округов на ежемесячное денежное вознаграждение за классное руководство</t>
  </si>
  <si>
    <t>202 03024 04 7202 151</t>
  </si>
  <si>
    <t>Субвенции бюджетам городских округов на выполнение передаваемых полномочий субъектов Российской Федерации</t>
  </si>
  <si>
    <t>202 03024 04 7203 151</t>
  </si>
  <si>
    <t>202 03024 04 7204 151</t>
  </si>
  <si>
    <t>202 03024 04 7206 151</t>
  </si>
  <si>
    <t>202 03024 04 7208 151</t>
  </si>
  <si>
    <t>202 03024 04 7209 151</t>
  </si>
  <si>
    <t>202 03024 04 7210 151</t>
  </si>
  <si>
    <t>202 03024 04 7211 151</t>
  </si>
  <si>
    <t>202 03027 04 7221 151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</si>
  <si>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</si>
  <si>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202 03027 04 7222 151</t>
  </si>
  <si>
    <t>202 03027 04 7223 151</t>
  </si>
  <si>
    <t>202 03029 04 0000 151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</si>
  <si>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</si>
  <si>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202 03999 04 7231 151</t>
  </si>
  <si>
    <t>202 04025 04 0000 151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</si>
  <si>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</si>
  <si>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202 09023 04 7301 151</t>
  </si>
  <si>
    <t>Прочие безвозмездные поступления в бюджеты городских округов от бюджетов субъектов РФ</t>
  </si>
  <si>
    <t>202 09023 04 7314 151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</si>
</sst>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_(* #,##0.0_);_(* \(#,##0.0\);_(* &quot;-&quot;??_);_(@_)"/>
    <numFmt numFmtId="188" formatCode="_-* #,##0.0_р_._-;\-* #,##0.0_р_._-;_-* &quot;-&quot;?_р_._-;_-@_-"/>
    <numFmt numFmtId="189" formatCode="#,##0.000"/>
  </numFmts>
  <fonts count="50">
    <font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6"/>
      <name val="Arial"/>
      <family val="0"/>
    </font>
    <font>
      <b/>
      <i/>
      <sz val="12"/>
      <name val="Arial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Arial"/>
      <family val="0"/>
    </font>
    <font>
      <sz val="12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5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 indent="6"/>
    </xf>
    <xf numFmtId="0" fontId="3" fillId="0" borderId="0" xfId="0" applyFont="1" applyAlignment="1">
      <alignment horizontal="left" indent="15"/>
    </xf>
    <xf numFmtId="184" fontId="1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86" fontId="3" fillId="0" borderId="10" xfId="6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8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6" fontId="4" fillId="0" borderId="10" xfId="60" applyNumberFormat="1" applyFont="1" applyBorder="1" applyAlignment="1">
      <alignment horizontal="center" vertical="center" wrapText="1"/>
    </xf>
    <xf numFmtId="186" fontId="5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6" fontId="1" fillId="0" borderId="0" xfId="0" applyNumberFormat="1" applyFont="1" applyBorder="1" applyAlignment="1">
      <alignment/>
    </xf>
    <xf numFmtId="186" fontId="10" fillId="0" borderId="10" xfId="60" applyNumberFormat="1" applyFont="1" applyBorder="1" applyAlignment="1">
      <alignment horizontal="center" vertical="center" wrapText="1"/>
    </xf>
    <xf numFmtId="186" fontId="11" fillId="0" borderId="10" xfId="6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8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12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readingOrder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left" vertical="center" wrapText="1" readingOrder="1"/>
    </xf>
    <xf numFmtId="0" fontId="3" fillId="0" borderId="10" xfId="0" applyFont="1" applyBorder="1" applyAlignment="1">
      <alignment/>
    </xf>
    <xf numFmtId="186" fontId="11" fillId="33" borderId="10" xfId="6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186" fontId="10" fillId="0" borderId="10" xfId="60" applyNumberFormat="1" applyFont="1" applyFill="1" applyBorder="1" applyAlignment="1">
      <alignment horizontal="center" vertical="center" wrapText="1"/>
    </xf>
    <xf numFmtId="186" fontId="11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186" fontId="3" fillId="0" borderId="10" xfId="6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8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186" fontId="7" fillId="0" borderId="10" xfId="60" applyNumberFormat="1" applyFont="1" applyFill="1" applyBorder="1" applyAlignment="1">
      <alignment horizontal="center" vertical="center" wrapText="1"/>
    </xf>
    <xf numFmtId="186" fontId="8" fillId="0" borderId="0" xfId="0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12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75" zoomScaleNormal="75" zoomScaleSheetLayoutView="100" zoomScalePageLayoutView="0" workbookViewId="0" topLeftCell="A1">
      <selection activeCell="F78" sqref="F78"/>
    </sheetView>
  </sheetViews>
  <sheetFormatPr defaultColWidth="9.140625" defaultRowHeight="12.75"/>
  <cols>
    <col min="1" max="1" width="26.00390625" style="1" customWidth="1"/>
    <col min="2" max="2" width="41.8515625" style="3" customWidth="1"/>
    <col min="3" max="3" width="14.7109375" style="1" customWidth="1"/>
    <col min="4" max="4" width="17.140625" style="1" hidden="1" customWidth="1"/>
    <col min="5" max="5" width="14.57421875" style="1" hidden="1" customWidth="1"/>
    <col min="6" max="6" width="14.7109375" style="1" customWidth="1"/>
    <col min="7" max="7" width="10.28125" style="13" customWidth="1"/>
    <col min="8" max="8" width="11.421875" style="1" customWidth="1"/>
    <col min="9" max="9" width="17.00390625" style="4" customWidth="1"/>
    <col min="10" max="10" width="14.140625" style="4" customWidth="1"/>
    <col min="11" max="16384" width="9.140625" style="1" customWidth="1"/>
  </cols>
  <sheetData>
    <row r="1" spans="3:8" ht="15.75">
      <c r="C1" s="85" t="s">
        <v>12</v>
      </c>
      <c r="D1" s="85"/>
      <c r="E1" s="85"/>
      <c r="F1" s="85"/>
      <c r="G1" s="85"/>
      <c r="H1" s="85"/>
    </row>
    <row r="2" spans="3:8" ht="15.75">
      <c r="C2" s="84" t="s">
        <v>10</v>
      </c>
      <c r="D2" s="84"/>
      <c r="E2" s="84"/>
      <c r="F2" s="84"/>
      <c r="G2" s="84"/>
      <c r="H2" s="84"/>
    </row>
    <row r="3" spans="2:8" ht="15.75">
      <c r="B3" s="15"/>
      <c r="C3" s="84" t="s">
        <v>11</v>
      </c>
      <c r="D3" s="84"/>
      <c r="E3" s="84"/>
      <c r="F3" s="84"/>
      <c r="G3" s="84"/>
      <c r="H3" s="84"/>
    </row>
    <row r="4" spans="2:8" ht="15.75">
      <c r="B4" s="15"/>
      <c r="C4" s="84" t="s">
        <v>100</v>
      </c>
      <c r="D4" s="84"/>
      <c r="E4" s="84"/>
      <c r="F4" s="84"/>
      <c r="G4" s="84"/>
      <c r="H4" s="84"/>
    </row>
    <row r="5" spans="2:8" ht="15.75">
      <c r="B5" s="16"/>
      <c r="C5" s="84" t="s">
        <v>13</v>
      </c>
      <c r="D5" s="84"/>
      <c r="E5" s="84"/>
      <c r="F5" s="84"/>
      <c r="G5" s="84"/>
      <c r="H5" s="84"/>
    </row>
    <row r="6" spans="2:8" ht="30" customHeight="1">
      <c r="B6" s="2"/>
      <c r="C6" s="85" t="s">
        <v>101</v>
      </c>
      <c r="D6" s="85"/>
      <c r="E6" s="85"/>
      <c r="F6" s="85"/>
      <c r="G6" s="85"/>
      <c r="H6" s="85"/>
    </row>
    <row r="7" spans="2:8" ht="15.75">
      <c r="B7" s="2"/>
      <c r="C7" s="5"/>
      <c r="D7" s="6"/>
      <c r="E7" s="6"/>
      <c r="F7" s="6"/>
      <c r="G7" s="8"/>
      <c r="H7" s="6"/>
    </row>
    <row r="8" spans="1:8" ht="45.75" customHeight="1">
      <c r="A8" s="82" t="s">
        <v>104</v>
      </c>
      <c r="B8" s="86"/>
      <c r="C8" s="86"/>
      <c r="D8" s="86"/>
      <c r="E8" s="86"/>
      <c r="F8" s="86"/>
      <c r="G8" s="86"/>
      <c r="H8" s="86"/>
    </row>
    <row r="9" spans="2:8" ht="15.75">
      <c r="B9" s="82"/>
      <c r="C9" s="83"/>
      <c r="D9" s="83"/>
      <c r="E9" s="83"/>
      <c r="F9" s="83"/>
      <c r="G9" s="83"/>
      <c r="H9" s="6"/>
    </row>
    <row r="10" spans="2:8" ht="15.75">
      <c r="B10" s="15"/>
      <c r="C10" s="9"/>
      <c r="D10" s="6"/>
      <c r="E10" s="6"/>
      <c r="F10" s="6"/>
      <c r="G10" s="8"/>
      <c r="H10" s="6"/>
    </row>
    <row r="11" spans="2:8" ht="15.75">
      <c r="B11" s="16" t="s">
        <v>5</v>
      </c>
      <c r="C11" s="7"/>
      <c r="D11" s="6"/>
      <c r="E11" s="6"/>
      <c r="F11" s="6"/>
      <c r="G11" s="8"/>
      <c r="H11" s="6" t="s">
        <v>0</v>
      </c>
    </row>
    <row r="12" spans="2:8" ht="15.75">
      <c r="B12" s="15"/>
      <c r="C12" s="10"/>
      <c r="D12" s="6"/>
      <c r="E12" s="6"/>
      <c r="F12" s="6"/>
      <c r="G12" s="8"/>
      <c r="H12" s="6"/>
    </row>
    <row r="13" spans="1:8" ht="47.25">
      <c r="A13" s="52"/>
      <c r="B13" s="23" t="s">
        <v>1</v>
      </c>
      <c r="C13" s="23" t="s">
        <v>102</v>
      </c>
      <c r="D13" s="23" t="s">
        <v>7</v>
      </c>
      <c r="E13" s="23" t="s">
        <v>6</v>
      </c>
      <c r="F13" s="23" t="s">
        <v>103</v>
      </c>
      <c r="G13" s="24" t="s">
        <v>9</v>
      </c>
      <c r="H13" s="23" t="s">
        <v>8</v>
      </c>
    </row>
    <row r="14" spans="1:8" ht="15.75">
      <c r="A14" s="52"/>
      <c r="B14" s="23">
        <v>1</v>
      </c>
      <c r="C14" s="23">
        <v>2</v>
      </c>
      <c r="D14" s="23">
        <v>3</v>
      </c>
      <c r="E14" s="23">
        <v>4</v>
      </c>
      <c r="F14" s="23">
        <v>3</v>
      </c>
      <c r="G14" s="25">
        <v>4</v>
      </c>
      <c r="H14" s="23">
        <v>5</v>
      </c>
    </row>
    <row r="15" spans="1:8" ht="15.75">
      <c r="A15" s="52"/>
      <c r="B15" s="17" t="s">
        <v>2</v>
      </c>
      <c r="C15" s="18">
        <f>SUM(C80+C81)</f>
        <v>1586556</v>
      </c>
      <c r="D15" s="18">
        <f>SUM(D80+D81)</f>
        <v>0</v>
      </c>
      <c r="E15" s="18">
        <f>SUM(E80+E81)</f>
        <v>0</v>
      </c>
      <c r="F15" s="18">
        <f>SUM(F80+F81)</f>
        <v>1607734.16</v>
      </c>
      <c r="G15" s="22">
        <f>F15/C15*100</f>
        <v>101.33485108625221</v>
      </c>
      <c r="H15" s="22">
        <f aca="true" t="shared" si="0" ref="H15:H50">SUM(F15-C15)</f>
        <v>21178.159999999916</v>
      </c>
    </row>
    <row r="16" spans="1:10" s="71" customFormat="1" ht="20.25">
      <c r="A16" s="66" t="s">
        <v>123</v>
      </c>
      <c r="B16" s="67" t="s">
        <v>121</v>
      </c>
      <c r="C16" s="68">
        <f>C17+C18+C19+C20+C21+C22+C23</f>
        <v>378167</v>
      </c>
      <c r="D16" s="68">
        <f>D17+D19+D20+D21+D22</f>
        <v>0</v>
      </c>
      <c r="E16" s="68">
        <f>E17+E19+E20+E21+E22</f>
        <v>0</v>
      </c>
      <c r="F16" s="68">
        <f>F17+F18+F19+F20+F21+F22+F23</f>
        <v>402369.06000000006</v>
      </c>
      <c r="G16" s="68">
        <f aca="true" t="shared" si="1" ref="G16:G50">F16/C16*100</f>
        <v>106.39983393580086</v>
      </c>
      <c r="H16" s="68">
        <f t="shared" si="0"/>
        <v>24202.060000000056</v>
      </c>
      <c r="I16" s="69"/>
      <c r="J16" s="70"/>
    </row>
    <row r="17" spans="1:10" ht="87" customHeight="1">
      <c r="A17" s="53" t="s">
        <v>46</v>
      </c>
      <c r="B17" s="19" t="s">
        <v>107</v>
      </c>
      <c r="C17" s="14">
        <v>1985</v>
      </c>
      <c r="D17" s="14"/>
      <c r="E17" s="14"/>
      <c r="F17" s="14">
        <v>2155.7</v>
      </c>
      <c r="G17" s="14">
        <f>F17/C17*100</f>
        <v>108.59949622166245</v>
      </c>
      <c r="H17" s="14">
        <f t="shared" si="0"/>
        <v>170.69999999999982</v>
      </c>
      <c r="J17" s="11"/>
    </row>
    <row r="18" spans="1:10" ht="95.25" customHeight="1">
      <c r="A18" s="53" t="s">
        <v>105</v>
      </c>
      <c r="B18" s="19" t="s">
        <v>106</v>
      </c>
      <c r="C18" s="14">
        <v>0</v>
      </c>
      <c r="D18" s="14"/>
      <c r="E18" s="14"/>
      <c r="F18" s="14">
        <v>-1.8</v>
      </c>
      <c r="G18" s="14"/>
      <c r="H18" s="14"/>
      <c r="J18" s="11"/>
    </row>
    <row r="19" spans="1:10" ht="149.25" customHeight="1">
      <c r="A19" s="53" t="s">
        <v>47</v>
      </c>
      <c r="B19" s="63" t="s">
        <v>108</v>
      </c>
      <c r="C19" s="14">
        <v>374160</v>
      </c>
      <c r="D19" s="14"/>
      <c r="E19" s="14"/>
      <c r="F19" s="14">
        <v>398096.5</v>
      </c>
      <c r="G19" s="14">
        <f t="shared" si="1"/>
        <v>106.39739683557836</v>
      </c>
      <c r="H19" s="14">
        <f t="shared" si="0"/>
        <v>23936.5</v>
      </c>
      <c r="J19" s="11"/>
    </row>
    <row r="20" spans="1:10" ht="159" customHeight="1">
      <c r="A20" s="53" t="s">
        <v>48</v>
      </c>
      <c r="B20" s="63" t="s">
        <v>109</v>
      </c>
      <c r="C20" s="14">
        <v>1265</v>
      </c>
      <c r="D20" s="14"/>
      <c r="E20" s="14"/>
      <c r="F20" s="14">
        <v>1324.7</v>
      </c>
      <c r="G20" s="14">
        <f t="shared" si="1"/>
        <v>104.71936758893281</v>
      </c>
      <c r="H20" s="14">
        <f t="shared" si="0"/>
        <v>59.700000000000045</v>
      </c>
      <c r="J20" s="11"/>
    </row>
    <row r="21" spans="1:10" ht="69.75" customHeight="1">
      <c r="A21" s="53" t="s">
        <v>49</v>
      </c>
      <c r="B21" s="19" t="s">
        <v>110</v>
      </c>
      <c r="C21" s="14">
        <v>75.4</v>
      </c>
      <c r="D21" s="14"/>
      <c r="E21" s="14"/>
      <c r="F21" s="14">
        <v>75.4</v>
      </c>
      <c r="G21" s="14">
        <f t="shared" si="1"/>
        <v>100</v>
      </c>
      <c r="H21" s="14">
        <f t="shared" si="0"/>
        <v>0</v>
      </c>
      <c r="J21" s="11"/>
    </row>
    <row r="22" spans="1:10" ht="148.5" customHeight="1">
      <c r="A22" s="53" t="s">
        <v>50</v>
      </c>
      <c r="B22" s="63" t="s">
        <v>111</v>
      </c>
      <c r="C22" s="14">
        <v>681.6</v>
      </c>
      <c r="D22" s="14"/>
      <c r="E22" s="14"/>
      <c r="F22" s="14">
        <v>718.6</v>
      </c>
      <c r="G22" s="14">
        <f t="shared" si="1"/>
        <v>105.42840375586854</v>
      </c>
      <c r="H22" s="14">
        <f t="shared" si="0"/>
        <v>37</v>
      </c>
      <c r="J22" s="11"/>
    </row>
    <row r="23" spans="1:10" ht="180.75" customHeight="1">
      <c r="A23" s="53" t="s">
        <v>51</v>
      </c>
      <c r="B23" s="51" t="s">
        <v>112</v>
      </c>
      <c r="C23" s="14">
        <v>0</v>
      </c>
      <c r="D23" s="14"/>
      <c r="E23" s="14"/>
      <c r="F23" s="14">
        <v>-0.04</v>
      </c>
      <c r="G23" s="14">
        <v>0</v>
      </c>
      <c r="H23" s="14">
        <f t="shared" si="0"/>
        <v>-0.04</v>
      </c>
      <c r="J23" s="11"/>
    </row>
    <row r="24" spans="1:10" s="50" customFormat="1" ht="15.75">
      <c r="A24" s="81" t="s">
        <v>58</v>
      </c>
      <c r="B24" s="72" t="s">
        <v>122</v>
      </c>
      <c r="C24" s="43">
        <f>C26+C27+C25</f>
        <v>70808.7</v>
      </c>
      <c r="D24" s="43">
        <f>D26+D27+D25</f>
        <v>0</v>
      </c>
      <c r="E24" s="43">
        <f>E26+E27+E25</f>
        <v>0</v>
      </c>
      <c r="F24" s="43">
        <f>F26+F27+F25</f>
        <v>72529.40000000001</v>
      </c>
      <c r="G24" s="44">
        <f t="shared" si="1"/>
        <v>102.43006862151121</v>
      </c>
      <c r="H24" s="44">
        <f t="shared" si="0"/>
        <v>1720.7000000000116</v>
      </c>
      <c r="I24" s="48"/>
      <c r="J24" s="49"/>
    </row>
    <row r="25" spans="1:10" s="31" customFormat="1" ht="66.75" customHeight="1">
      <c r="A25" s="54" t="s">
        <v>52</v>
      </c>
      <c r="B25" s="45" t="s">
        <v>42</v>
      </c>
      <c r="C25" s="43">
        <v>638</v>
      </c>
      <c r="D25" s="43"/>
      <c r="E25" s="43"/>
      <c r="F25" s="43">
        <v>771.7</v>
      </c>
      <c r="G25" s="14">
        <f t="shared" si="1"/>
        <v>120.95611285266459</v>
      </c>
      <c r="H25" s="14">
        <f>SUM(F25-C25)</f>
        <v>133.70000000000005</v>
      </c>
      <c r="I25" s="29"/>
      <c r="J25" s="30"/>
    </row>
    <row r="26" spans="1:10" ht="39" customHeight="1">
      <c r="A26" s="54" t="s">
        <v>53</v>
      </c>
      <c r="B26" s="20" t="s">
        <v>14</v>
      </c>
      <c r="C26" s="21">
        <v>70167.7</v>
      </c>
      <c r="D26" s="14"/>
      <c r="E26" s="14"/>
      <c r="F26" s="14">
        <v>71754.6</v>
      </c>
      <c r="G26" s="14">
        <f t="shared" si="1"/>
        <v>102.26158189594359</v>
      </c>
      <c r="H26" s="14">
        <f t="shared" si="0"/>
        <v>1586.9000000000087</v>
      </c>
      <c r="J26" s="11"/>
    </row>
    <row r="27" spans="1:10" ht="15.75">
      <c r="A27" s="54" t="s">
        <v>54</v>
      </c>
      <c r="B27" s="20" t="s">
        <v>15</v>
      </c>
      <c r="C27" s="21">
        <v>3</v>
      </c>
      <c r="D27" s="14"/>
      <c r="E27" s="14"/>
      <c r="F27" s="14">
        <v>3.1</v>
      </c>
      <c r="G27" s="14">
        <f t="shared" si="1"/>
        <v>103.33333333333334</v>
      </c>
      <c r="H27" s="14">
        <f t="shared" si="0"/>
        <v>0.10000000000000009</v>
      </c>
      <c r="J27" s="11"/>
    </row>
    <row r="28" spans="1:10" s="50" customFormat="1" ht="15.75">
      <c r="A28" s="54" t="s">
        <v>125</v>
      </c>
      <c r="B28" s="72" t="s">
        <v>124</v>
      </c>
      <c r="C28" s="43">
        <f>SUM(C29:C31)</f>
        <v>328060.6</v>
      </c>
      <c r="D28" s="43">
        <f>SUM(D29:D31)</f>
        <v>0</v>
      </c>
      <c r="E28" s="43">
        <f>SUM(E29:E31)</f>
        <v>0</v>
      </c>
      <c r="F28" s="43">
        <f>SUM(F29:F31)</f>
        <v>328311.60000000003</v>
      </c>
      <c r="G28" s="44">
        <f t="shared" si="1"/>
        <v>100.07651025450788</v>
      </c>
      <c r="H28" s="44">
        <f t="shared" si="0"/>
        <v>251.0000000000582</v>
      </c>
      <c r="I28" s="48"/>
      <c r="J28" s="49"/>
    </row>
    <row r="29" spans="1:10" ht="83.25" customHeight="1">
      <c r="A29" s="54" t="s">
        <v>55</v>
      </c>
      <c r="B29" s="20" t="s">
        <v>113</v>
      </c>
      <c r="C29" s="21">
        <v>9622.6</v>
      </c>
      <c r="D29" s="14"/>
      <c r="E29" s="14"/>
      <c r="F29" s="14">
        <v>9872.5</v>
      </c>
      <c r="G29" s="14">
        <f t="shared" si="1"/>
        <v>102.59701120279341</v>
      </c>
      <c r="H29" s="14">
        <f t="shared" si="0"/>
        <v>249.89999999999964</v>
      </c>
      <c r="J29" s="11"/>
    </row>
    <row r="30" spans="1:10" ht="102" customHeight="1">
      <c r="A30" s="54" t="s">
        <v>56</v>
      </c>
      <c r="B30" s="32" t="s">
        <v>114</v>
      </c>
      <c r="C30" s="21">
        <v>976</v>
      </c>
      <c r="D30" s="14"/>
      <c r="E30" s="14"/>
      <c r="F30" s="14">
        <v>976.7</v>
      </c>
      <c r="G30" s="14">
        <f t="shared" si="1"/>
        <v>100.07172131147541</v>
      </c>
      <c r="H30" s="14">
        <f t="shared" si="0"/>
        <v>0.7000000000000455</v>
      </c>
      <c r="J30" s="11"/>
    </row>
    <row r="31" spans="1:10" ht="100.5" customHeight="1">
      <c r="A31" s="54" t="s">
        <v>57</v>
      </c>
      <c r="B31" s="32" t="s">
        <v>115</v>
      </c>
      <c r="C31" s="21">
        <v>317462</v>
      </c>
      <c r="D31" s="14"/>
      <c r="E31" s="14"/>
      <c r="F31" s="14">
        <v>317462.4</v>
      </c>
      <c r="G31" s="14">
        <f t="shared" si="1"/>
        <v>100.00012599933221</v>
      </c>
      <c r="H31" s="14">
        <f t="shared" si="0"/>
        <v>0.40000000002328306</v>
      </c>
      <c r="J31" s="11"/>
    </row>
    <row r="32" spans="1:10" s="77" customFormat="1" ht="46.5" customHeight="1">
      <c r="A32" s="73" t="s">
        <v>60</v>
      </c>
      <c r="B32" s="74" t="s">
        <v>126</v>
      </c>
      <c r="C32" s="47">
        <f>SUM(C33)</f>
        <v>365</v>
      </c>
      <c r="D32" s="47">
        <f>SUM(D33)</f>
        <v>0</v>
      </c>
      <c r="E32" s="47">
        <f>SUM(E33)</f>
        <v>0</v>
      </c>
      <c r="F32" s="47">
        <f>SUM(F33)</f>
        <v>466.5</v>
      </c>
      <c r="G32" s="47">
        <f t="shared" si="1"/>
        <v>127.80821917808218</v>
      </c>
      <c r="H32" s="47">
        <f t="shared" si="0"/>
        <v>101.5</v>
      </c>
      <c r="I32" s="75"/>
      <c r="J32" s="76"/>
    </row>
    <row r="33" spans="1:10" ht="47.25">
      <c r="A33" s="55" t="s">
        <v>59</v>
      </c>
      <c r="B33" s="46" t="s">
        <v>43</v>
      </c>
      <c r="C33" s="21">
        <v>365</v>
      </c>
      <c r="D33" s="14"/>
      <c r="E33" s="14"/>
      <c r="F33" s="14">
        <v>466.5</v>
      </c>
      <c r="G33" s="47">
        <f>F33/C33*100</f>
        <v>127.80821917808218</v>
      </c>
      <c r="H33" s="47">
        <f>SUM(F33-C33)</f>
        <v>101.5</v>
      </c>
      <c r="J33" s="11"/>
    </row>
    <row r="34" spans="1:10" s="50" customFormat="1" ht="15.75">
      <c r="A34" s="55" t="s">
        <v>128</v>
      </c>
      <c r="B34" s="72" t="s">
        <v>127</v>
      </c>
      <c r="C34" s="43">
        <f>SUM(C35:C38)</f>
        <v>32535</v>
      </c>
      <c r="D34" s="43">
        <f>SUM(D35:D38)</f>
        <v>0</v>
      </c>
      <c r="E34" s="43">
        <f>SUM(E35:E38)</f>
        <v>0</v>
      </c>
      <c r="F34" s="43">
        <f>SUM(F35:F38)</f>
        <v>32832.7</v>
      </c>
      <c r="G34" s="44">
        <f t="shared" si="1"/>
        <v>100.9150145996619</v>
      </c>
      <c r="H34" s="44">
        <f t="shared" si="0"/>
        <v>297.6999999999971</v>
      </c>
      <c r="I34" s="78"/>
      <c r="J34" s="49"/>
    </row>
    <row r="35" spans="1:10" s="31" customFormat="1" ht="66" customHeight="1">
      <c r="A35" s="54" t="s">
        <v>61</v>
      </c>
      <c r="B35" s="33" t="s">
        <v>116</v>
      </c>
      <c r="C35" s="21">
        <v>6379.2</v>
      </c>
      <c r="D35" s="14"/>
      <c r="E35" s="14"/>
      <c r="F35" s="14">
        <v>6614.2</v>
      </c>
      <c r="G35" s="14">
        <f t="shared" si="1"/>
        <v>103.68384750438926</v>
      </c>
      <c r="H35" s="14">
        <f t="shared" si="0"/>
        <v>235</v>
      </c>
      <c r="I35" s="29"/>
      <c r="J35" s="30"/>
    </row>
    <row r="36" spans="1:10" s="31" customFormat="1" ht="144" customHeight="1">
      <c r="A36" s="54" t="s">
        <v>62</v>
      </c>
      <c r="B36" s="64" t="s">
        <v>117</v>
      </c>
      <c r="C36" s="21">
        <v>26080</v>
      </c>
      <c r="D36" s="14"/>
      <c r="E36" s="14"/>
      <c r="F36" s="14">
        <v>26142.6</v>
      </c>
      <c r="G36" s="14">
        <f t="shared" si="1"/>
        <v>100.24003067484661</v>
      </c>
      <c r="H36" s="14">
        <f t="shared" si="0"/>
        <v>62.599999999998545</v>
      </c>
      <c r="I36" s="29"/>
      <c r="J36" s="30"/>
    </row>
    <row r="37" spans="1:10" s="31" customFormat="1" ht="60" customHeight="1">
      <c r="A37" s="54" t="s">
        <v>63</v>
      </c>
      <c r="B37" s="33" t="s">
        <v>118</v>
      </c>
      <c r="C37" s="21">
        <v>3</v>
      </c>
      <c r="D37" s="14"/>
      <c r="E37" s="14"/>
      <c r="F37" s="14">
        <v>3</v>
      </c>
      <c r="G37" s="14">
        <f t="shared" si="1"/>
        <v>100</v>
      </c>
      <c r="H37" s="14">
        <f t="shared" si="0"/>
        <v>0</v>
      </c>
      <c r="I37" s="29"/>
      <c r="J37" s="30"/>
    </row>
    <row r="38" spans="1:10" s="31" customFormat="1" ht="126" customHeight="1">
      <c r="A38" s="54" t="s">
        <v>64</v>
      </c>
      <c r="B38" s="65" t="s">
        <v>119</v>
      </c>
      <c r="C38" s="21">
        <v>72.8</v>
      </c>
      <c r="D38" s="14"/>
      <c r="E38" s="14"/>
      <c r="F38" s="14">
        <v>72.9</v>
      </c>
      <c r="G38" s="14">
        <f t="shared" si="1"/>
        <v>100.13736263736266</v>
      </c>
      <c r="H38" s="14">
        <f t="shared" si="0"/>
        <v>0.10000000000000853</v>
      </c>
      <c r="I38" s="29"/>
      <c r="J38" s="30"/>
    </row>
    <row r="39" spans="1:10" s="50" customFormat="1" ht="67.5" customHeight="1">
      <c r="A39" s="54" t="s">
        <v>130</v>
      </c>
      <c r="B39" s="79" t="s">
        <v>120</v>
      </c>
      <c r="C39" s="44">
        <f>C40+C41+C42+C43</f>
        <v>160</v>
      </c>
      <c r="D39" s="44">
        <f>SUM(D40:D43)</f>
        <v>0</v>
      </c>
      <c r="E39" s="44">
        <f>SUM(E40:E43)</f>
        <v>0</v>
      </c>
      <c r="F39" s="44">
        <f>SUM(F40:F43)</f>
        <v>205.1</v>
      </c>
      <c r="G39" s="47">
        <f t="shared" si="1"/>
        <v>128.1875</v>
      </c>
      <c r="H39" s="44">
        <f t="shared" si="0"/>
        <v>45.099999999999994</v>
      </c>
      <c r="I39" s="80"/>
      <c r="J39" s="49"/>
    </row>
    <row r="40" spans="1:10" s="31" customFormat="1" ht="68.25" customHeight="1">
      <c r="A40" s="54" t="s">
        <v>65</v>
      </c>
      <c r="B40" s="33" t="s">
        <v>129</v>
      </c>
      <c r="C40" s="14">
        <v>160</v>
      </c>
      <c r="D40" s="14"/>
      <c r="E40" s="14"/>
      <c r="F40" s="14">
        <v>206.7</v>
      </c>
      <c r="G40" s="14">
        <f t="shared" si="1"/>
        <v>129.1875</v>
      </c>
      <c r="H40" s="14">
        <f t="shared" si="0"/>
        <v>46.69999999999999</v>
      </c>
      <c r="I40" s="34"/>
      <c r="J40" s="30"/>
    </row>
    <row r="41" spans="1:10" s="31" customFormat="1" ht="37.5" customHeight="1">
      <c r="A41" s="54" t="s">
        <v>66</v>
      </c>
      <c r="B41" s="32" t="s">
        <v>131</v>
      </c>
      <c r="C41" s="14"/>
      <c r="D41" s="14"/>
      <c r="E41" s="14"/>
      <c r="F41" s="14">
        <v>0.5</v>
      </c>
      <c r="G41" s="14"/>
      <c r="H41" s="14">
        <f t="shared" si="0"/>
        <v>0.5</v>
      </c>
      <c r="I41" s="34"/>
      <c r="J41" s="30"/>
    </row>
    <row r="42" spans="1:10" s="31" customFormat="1" ht="97.5" customHeight="1">
      <c r="A42" s="54" t="s">
        <v>67</v>
      </c>
      <c r="B42" s="32" t="s">
        <v>132</v>
      </c>
      <c r="C42" s="14"/>
      <c r="D42" s="14"/>
      <c r="E42" s="14"/>
      <c r="F42" s="14">
        <v>-18.5</v>
      </c>
      <c r="G42" s="14"/>
      <c r="H42" s="14">
        <f t="shared" si="0"/>
        <v>-18.5</v>
      </c>
      <c r="I42" s="34"/>
      <c r="J42" s="30"/>
    </row>
    <row r="43" spans="1:10" s="31" customFormat="1" ht="48.75" customHeight="1">
      <c r="A43" s="54" t="s">
        <v>68</v>
      </c>
      <c r="B43" s="32" t="s">
        <v>133</v>
      </c>
      <c r="C43" s="14"/>
      <c r="D43" s="14"/>
      <c r="E43" s="14"/>
      <c r="F43" s="14">
        <v>16.4</v>
      </c>
      <c r="G43" s="14"/>
      <c r="H43" s="14">
        <f t="shared" si="0"/>
        <v>16.4</v>
      </c>
      <c r="I43" s="34"/>
      <c r="J43" s="30"/>
    </row>
    <row r="44" spans="1:10" s="50" customFormat="1" ht="63.75" customHeight="1">
      <c r="A44" s="54" t="s">
        <v>135</v>
      </c>
      <c r="B44" s="72" t="s">
        <v>134</v>
      </c>
      <c r="C44" s="43">
        <f>SUM(C45:C50)</f>
        <v>189585</v>
      </c>
      <c r="D44" s="43">
        <f>SUM(D45:D50)</f>
        <v>0</v>
      </c>
      <c r="E44" s="43">
        <f>SUM(E45:E50)</f>
        <v>0</v>
      </c>
      <c r="F44" s="43">
        <f>SUM(F45:F50)</f>
        <v>199164.7</v>
      </c>
      <c r="G44" s="44">
        <f t="shared" si="1"/>
        <v>105.0529841495899</v>
      </c>
      <c r="H44" s="44">
        <f t="shared" si="0"/>
        <v>9579.700000000012</v>
      </c>
      <c r="I44" s="78"/>
      <c r="J44" s="49"/>
    </row>
    <row r="45" spans="1:10" s="31" customFormat="1" ht="129.75" customHeight="1">
      <c r="A45" s="54" t="s">
        <v>69</v>
      </c>
      <c r="B45" s="39" t="s">
        <v>136</v>
      </c>
      <c r="C45" s="21">
        <v>108000</v>
      </c>
      <c r="D45" s="14"/>
      <c r="E45" s="14"/>
      <c r="F45" s="14">
        <v>115495.5</v>
      </c>
      <c r="G45" s="14">
        <f t="shared" si="1"/>
        <v>106.94027777777777</v>
      </c>
      <c r="H45" s="14">
        <f t="shared" si="0"/>
        <v>7495.5</v>
      </c>
      <c r="I45" s="29"/>
      <c r="J45" s="30"/>
    </row>
    <row r="46" spans="1:10" s="31" customFormat="1" ht="108.75" customHeight="1">
      <c r="A46" s="54" t="s">
        <v>70</v>
      </c>
      <c r="B46" s="32" t="s">
        <v>137</v>
      </c>
      <c r="C46" s="21">
        <v>1200</v>
      </c>
      <c r="D46" s="14"/>
      <c r="E46" s="14"/>
      <c r="F46" s="14">
        <v>1311.5</v>
      </c>
      <c r="G46" s="14">
        <f t="shared" si="1"/>
        <v>109.29166666666667</v>
      </c>
      <c r="H46" s="14">
        <f t="shared" si="0"/>
        <v>111.5</v>
      </c>
      <c r="I46" s="29"/>
      <c r="J46" s="30"/>
    </row>
    <row r="47" spans="1:10" s="31" customFormat="1" ht="98.25" customHeight="1">
      <c r="A47" s="54" t="s">
        <v>71</v>
      </c>
      <c r="B47" s="45" t="s">
        <v>138</v>
      </c>
      <c r="C47" s="21">
        <v>73390.8</v>
      </c>
      <c r="D47" s="14"/>
      <c r="E47" s="14"/>
      <c r="F47" s="14">
        <v>74809.6</v>
      </c>
      <c r="G47" s="14">
        <f t="shared" si="1"/>
        <v>101.93321233724117</v>
      </c>
      <c r="H47" s="14">
        <f t="shared" si="0"/>
        <v>1418.800000000003</v>
      </c>
      <c r="I47" s="29"/>
      <c r="J47" s="30"/>
    </row>
    <row r="48" spans="1:10" s="31" customFormat="1" ht="87.75" customHeight="1">
      <c r="A48" s="54" t="s">
        <v>72</v>
      </c>
      <c r="B48" s="32" t="s">
        <v>139</v>
      </c>
      <c r="C48" s="21">
        <v>176</v>
      </c>
      <c r="D48" s="14"/>
      <c r="E48" s="14"/>
      <c r="F48" s="14">
        <v>177</v>
      </c>
      <c r="G48" s="14">
        <f t="shared" si="1"/>
        <v>100.56818181818181</v>
      </c>
      <c r="H48" s="14">
        <f t="shared" si="0"/>
        <v>1</v>
      </c>
      <c r="I48" s="29"/>
      <c r="J48" s="30"/>
    </row>
    <row r="49" spans="1:10" s="31" customFormat="1" ht="66.75" customHeight="1">
      <c r="A49" s="54" t="s">
        <v>73</v>
      </c>
      <c r="B49" s="32" t="s">
        <v>140</v>
      </c>
      <c r="C49" s="21">
        <v>330</v>
      </c>
      <c r="D49" s="14"/>
      <c r="E49" s="14"/>
      <c r="F49" s="14">
        <v>330</v>
      </c>
      <c r="G49" s="14">
        <f t="shared" si="1"/>
        <v>100</v>
      </c>
      <c r="H49" s="14">
        <f t="shared" si="0"/>
        <v>0</v>
      </c>
      <c r="I49" s="29"/>
      <c r="J49" s="30"/>
    </row>
    <row r="50" spans="1:10" s="31" customFormat="1" ht="122.25" customHeight="1">
      <c r="A50" s="56" t="s">
        <v>74</v>
      </c>
      <c r="B50" s="38" t="s">
        <v>18</v>
      </c>
      <c r="C50" s="21">
        <v>6488.2</v>
      </c>
      <c r="D50" s="14"/>
      <c r="E50" s="14"/>
      <c r="F50" s="14">
        <v>7041.1</v>
      </c>
      <c r="G50" s="14">
        <f t="shared" si="1"/>
        <v>108.52162387102742</v>
      </c>
      <c r="H50" s="14">
        <f t="shared" si="0"/>
        <v>552.9000000000005</v>
      </c>
      <c r="I50" s="29"/>
      <c r="J50" s="30"/>
    </row>
    <row r="51" spans="1:10" s="31" customFormat="1" ht="36" customHeight="1">
      <c r="A51" s="56" t="s">
        <v>142</v>
      </c>
      <c r="B51" s="42" t="s">
        <v>141</v>
      </c>
      <c r="C51" s="41">
        <f>C52</f>
        <v>5700</v>
      </c>
      <c r="D51" s="41"/>
      <c r="E51" s="41"/>
      <c r="F51" s="41">
        <f>F52</f>
        <v>7102.7</v>
      </c>
      <c r="G51" s="41">
        <f aca="true" t="shared" si="2" ref="G51:G74">F51/C51*100</f>
        <v>124.60877192982456</v>
      </c>
      <c r="H51" s="41">
        <f aca="true" t="shared" si="3" ref="H51:H79">SUM(F51-C51)</f>
        <v>1402.6999999999998</v>
      </c>
      <c r="I51" s="29"/>
      <c r="J51" s="30"/>
    </row>
    <row r="52" spans="1:10" s="31" customFormat="1" ht="36" customHeight="1">
      <c r="A52" s="54" t="s">
        <v>75</v>
      </c>
      <c r="B52" s="45" t="s">
        <v>44</v>
      </c>
      <c r="C52" s="44">
        <v>5700</v>
      </c>
      <c r="D52" s="44"/>
      <c r="E52" s="44"/>
      <c r="F52" s="44">
        <v>7102.7</v>
      </c>
      <c r="G52" s="44">
        <f>F52/C52*100</f>
        <v>124.60877192982456</v>
      </c>
      <c r="H52" s="44">
        <f>SUM(F52-C52)</f>
        <v>1402.6999999999998</v>
      </c>
      <c r="I52" s="29"/>
      <c r="J52" s="30"/>
    </row>
    <row r="53" spans="1:10" s="50" customFormat="1" ht="40.5" customHeight="1">
      <c r="A53" s="54" t="s">
        <v>146</v>
      </c>
      <c r="B53" s="72" t="s">
        <v>143</v>
      </c>
      <c r="C53" s="43">
        <f>SUM(C54)</f>
        <v>3600</v>
      </c>
      <c r="D53" s="43">
        <f>SUM(D54)</f>
        <v>0</v>
      </c>
      <c r="E53" s="43">
        <f>SUM(E54)</f>
        <v>0</v>
      </c>
      <c r="F53" s="43">
        <f>SUM(F54)</f>
        <v>3771.4</v>
      </c>
      <c r="G53" s="44">
        <f t="shared" si="2"/>
        <v>104.7611111111111</v>
      </c>
      <c r="H53" s="44">
        <f t="shared" si="3"/>
        <v>171.4000000000001</v>
      </c>
      <c r="I53" s="48"/>
      <c r="J53" s="49"/>
    </row>
    <row r="54" spans="1:10" s="31" customFormat="1" ht="64.5" customHeight="1">
      <c r="A54" s="54" t="s">
        <v>76</v>
      </c>
      <c r="B54" s="45" t="s">
        <v>144</v>
      </c>
      <c r="C54" s="43">
        <v>3600</v>
      </c>
      <c r="D54" s="44"/>
      <c r="E54" s="44"/>
      <c r="F54" s="44">
        <v>3771.4</v>
      </c>
      <c r="G54" s="44">
        <f>F54/C54*100</f>
        <v>104.7611111111111</v>
      </c>
      <c r="H54" s="44">
        <f>SUM(F54-C54)</f>
        <v>171.4000000000001</v>
      </c>
      <c r="I54" s="29"/>
      <c r="J54" s="30"/>
    </row>
    <row r="55" spans="1:10" s="50" customFormat="1" ht="33" customHeight="1">
      <c r="A55" s="60" t="s">
        <v>77</v>
      </c>
      <c r="B55" s="72" t="s">
        <v>145</v>
      </c>
      <c r="C55" s="43">
        <f>SUM(C56:C58)</f>
        <v>36569.7</v>
      </c>
      <c r="D55" s="43">
        <f>SUM(D56:D58)</f>
        <v>0</v>
      </c>
      <c r="E55" s="43">
        <f>SUM(E56:E58)</f>
        <v>0</v>
      </c>
      <c r="F55" s="43">
        <f>SUM(F56:F58)</f>
        <v>37926.6</v>
      </c>
      <c r="G55" s="44">
        <f t="shared" si="2"/>
        <v>103.71044881418223</v>
      </c>
      <c r="H55" s="44">
        <f t="shared" si="3"/>
        <v>1356.9000000000015</v>
      </c>
      <c r="I55" s="48"/>
      <c r="J55" s="49"/>
    </row>
    <row r="56" spans="1:10" s="31" customFormat="1" ht="126" customHeight="1">
      <c r="A56" s="61" t="s">
        <v>78</v>
      </c>
      <c r="B56" s="37" t="s">
        <v>174</v>
      </c>
      <c r="C56" s="27">
        <v>33499.7</v>
      </c>
      <c r="D56" s="28"/>
      <c r="E56" s="28"/>
      <c r="F56" s="28">
        <v>33921.6</v>
      </c>
      <c r="G56" s="28">
        <f t="shared" si="2"/>
        <v>101.25941426341132</v>
      </c>
      <c r="H56" s="28">
        <f t="shared" si="3"/>
        <v>421.90000000000146</v>
      </c>
      <c r="I56" s="29"/>
      <c r="J56" s="30"/>
    </row>
    <row r="57" spans="1:10" s="31" customFormat="1" ht="72.75" customHeight="1">
      <c r="A57" s="61" t="s">
        <v>147</v>
      </c>
      <c r="B57" s="37" t="s">
        <v>148</v>
      </c>
      <c r="C57" s="27">
        <v>0</v>
      </c>
      <c r="D57" s="28"/>
      <c r="E57" s="28"/>
      <c r="F57" s="28">
        <v>9.9</v>
      </c>
      <c r="G57" s="28"/>
      <c r="H57" s="28">
        <f t="shared" si="3"/>
        <v>9.9</v>
      </c>
      <c r="I57" s="29"/>
      <c r="J57" s="30"/>
    </row>
    <row r="58" spans="1:10" s="31" customFormat="1" ht="79.5" customHeight="1">
      <c r="A58" s="62" t="s">
        <v>79</v>
      </c>
      <c r="B58" s="37" t="s">
        <v>149</v>
      </c>
      <c r="C58" s="27">
        <v>3070</v>
      </c>
      <c r="D58" s="28"/>
      <c r="E58" s="28"/>
      <c r="F58" s="28">
        <v>3995.1</v>
      </c>
      <c r="G58" s="28">
        <f t="shared" si="2"/>
        <v>130.13355048859933</v>
      </c>
      <c r="H58" s="28">
        <f t="shared" si="3"/>
        <v>925.0999999999999</v>
      </c>
      <c r="I58" s="29"/>
      <c r="J58" s="30"/>
    </row>
    <row r="59" spans="1:10" s="50" customFormat="1" ht="31.5">
      <c r="A59" s="60" t="s">
        <v>150</v>
      </c>
      <c r="B59" s="79" t="s">
        <v>151</v>
      </c>
      <c r="C59" s="44">
        <f>SUM(C60:C74)</f>
        <v>13757.1</v>
      </c>
      <c r="D59" s="44">
        <f>SUM(D60:D74)</f>
        <v>0</v>
      </c>
      <c r="E59" s="44">
        <f>SUM(E60:E74)</f>
        <v>0</v>
      </c>
      <c r="F59" s="44">
        <f>SUM(F60:F74)</f>
        <v>16007.4</v>
      </c>
      <c r="G59" s="44">
        <f t="shared" si="2"/>
        <v>116.35737182981877</v>
      </c>
      <c r="H59" s="44">
        <f t="shared" si="3"/>
        <v>2250.2999999999993</v>
      </c>
      <c r="I59" s="78"/>
      <c r="J59" s="49"/>
    </row>
    <row r="60" spans="1:10" s="31" customFormat="1" ht="111.75" customHeight="1">
      <c r="A60" s="57" t="s">
        <v>80</v>
      </c>
      <c r="B60" s="32" t="s">
        <v>152</v>
      </c>
      <c r="C60" s="21">
        <v>64.9</v>
      </c>
      <c r="D60" s="14"/>
      <c r="E60" s="14"/>
      <c r="F60" s="14">
        <v>66.8</v>
      </c>
      <c r="G60" s="14">
        <f t="shared" si="2"/>
        <v>102.92758089368257</v>
      </c>
      <c r="H60" s="14">
        <f t="shared" si="3"/>
        <v>1.8999999999999915</v>
      </c>
      <c r="I60" s="29"/>
      <c r="J60" s="30"/>
    </row>
    <row r="61" spans="1:10" s="31" customFormat="1" ht="78" customHeight="1">
      <c r="A61" s="57" t="s">
        <v>154</v>
      </c>
      <c r="B61" s="32" t="s">
        <v>155</v>
      </c>
      <c r="C61" s="21">
        <v>0</v>
      </c>
      <c r="D61" s="14"/>
      <c r="E61" s="14"/>
      <c r="F61" s="14">
        <v>0.2</v>
      </c>
      <c r="G61" s="14"/>
      <c r="H61" s="14">
        <f t="shared" si="3"/>
        <v>0.2</v>
      </c>
      <c r="I61" s="29"/>
      <c r="J61" s="30"/>
    </row>
    <row r="62" spans="1:10" s="31" customFormat="1" ht="90.75" customHeight="1">
      <c r="A62" s="57" t="s">
        <v>81</v>
      </c>
      <c r="B62" s="45" t="s">
        <v>153</v>
      </c>
      <c r="C62" s="21">
        <v>16</v>
      </c>
      <c r="D62" s="14"/>
      <c r="E62" s="14"/>
      <c r="F62" s="14">
        <v>18</v>
      </c>
      <c r="G62" s="14">
        <f t="shared" si="2"/>
        <v>112.5</v>
      </c>
      <c r="H62" s="14">
        <f t="shared" si="3"/>
        <v>2</v>
      </c>
      <c r="I62" s="29"/>
      <c r="J62" s="30"/>
    </row>
    <row r="63" spans="1:10" s="31" customFormat="1" ht="84.75" customHeight="1">
      <c r="A63" s="57" t="s">
        <v>82</v>
      </c>
      <c r="B63" s="32" t="s">
        <v>156</v>
      </c>
      <c r="C63" s="21">
        <v>220.1</v>
      </c>
      <c r="D63" s="14"/>
      <c r="E63" s="14"/>
      <c r="F63" s="14">
        <v>229.1</v>
      </c>
      <c r="G63" s="14">
        <f t="shared" si="2"/>
        <v>104.089050431622</v>
      </c>
      <c r="H63" s="14">
        <f t="shared" si="3"/>
        <v>9</v>
      </c>
      <c r="I63" s="29"/>
      <c r="J63" s="30"/>
    </row>
    <row r="64" spans="1:10" s="31" customFormat="1" ht="100.5" customHeight="1">
      <c r="A64" s="57" t="s">
        <v>83</v>
      </c>
      <c r="B64" s="32" t="s">
        <v>157</v>
      </c>
      <c r="C64" s="21">
        <v>114</v>
      </c>
      <c r="D64" s="14"/>
      <c r="E64" s="14"/>
      <c r="F64" s="14">
        <v>124</v>
      </c>
      <c r="G64" s="14">
        <f t="shared" si="2"/>
        <v>108.77192982456141</v>
      </c>
      <c r="H64" s="14">
        <f t="shared" si="3"/>
        <v>10</v>
      </c>
      <c r="I64" s="29"/>
      <c r="J64" s="30"/>
    </row>
    <row r="65" spans="1:10" s="31" customFormat="1" ht="83.25" customHeight="1">
      <c r="A65" s="57" t="s">
        <v>84</v>
      </c>
      <c r="B65" s="45" t="s">
        <v>158</v>
      </c>
      <c r="C65" s="21">
        <v>380.6</v>
      </c>
      <c r="D65" s="14"/>
      <c r="E65" s="14"/>
      <c r="F65" s="14">
        <v>380.6</v>
      </c>
      <c r="G65" s="14">
        <f t="shared" si="2"/>
        <v>100</v>
      </c>
      <c r="H65" s="14">
        <f t="shared" si="3"/>
        <v>0</v>
      </c>
      <c r="I65" s="29"/>
      <c r="J65" s="30"/>
    </row>
    <row r="66" spans="1:10" s="31" customFormat="1" ht="42.75" customHeight="1">
      <c r="A66" s="57" t="s">
        <v>85</v>
      </c>
      <c r="B66" s="45" t="s">
        <v>159</v>
      </c>
      <c r="C66" s="21">
        <v>1</v>
      </c>
      <c r="D66" s="14"/>
      <c r="E66" s="14"/>
      <c r="F66" s="14">
        <v>611</v>
      </c>
      <c r="G66" s="14">
        <f t="shared" si="2"/>
        <v>61100</v>
      </c>
      <c r="H66" s="14">
        <f t="shared" si="3"/>
        <v>610</v>
      </c>
      <c r="I66" s="29"/>
      <c r="J66" s="30"/>
    </row>
    <row r="67" spans="1:10" s="31" customFormat="1" ht="58.5" customHeight="1">
      <c r="A67" s="57" t="s">
        <v>86</v>
      </c>
      <c r="B67" s="45" t="s">
        <v>160</v>
      </c>
      <c r="C67" s="21">
        <v>11.5</v>
      </c>
      <c r="D67" s="14"/>
      <c r="E67" s="14"/>
      <c r="F67" s="14">
        <v>12.5</v>
      </c>
      <c r="G67" s="14">
        <f t="shared" si="2"/>
        <v>108.69565217391303</v>
      </c>
      <c r="H67" s="14">
        <f t="shared" si="3"/>
        <v>1</v>
      </c>
      <c r="I67" s="29"/>
      <c r="J67" s="30"/>
    </row>
    <row r="68" spans="1:10" s="31" customFormat="1" ht="58.5" customHeight="1">
      <c r="A68" s="57" t="s">
        <v>161</v>
      </c>
      <c r="B68" s="45" t="s">
        <v>162</v>
      </c>
      <c r="C68" s="21">
        <v>0</v>
      </c>
      <c r="D68" s="14"/>
      <c r="E68" s="14"/>
      <c r="F68" s="14">
        <v>0</v>
      </c>
      <c r="G68" s="14">
        <v>0</v>
      </c>
      <c r="H68" s="14">
        <f t="shared" si="3"/>
        <v>0</v>
      </c>
      <c r="I68" s="29"/>
      <c r="J68" s="30"/>
    </row>
    <row r="69" spans="1:10" s="31" customFormat="1" ht="60.75" customHeight="1">
      <c r="A69" s="57" t="s">
        <v>87</v>
      </c>
      <c r="B69" s="45" t="s">
        <v>163</v>
      </c>
      <c r="C69" s="21">
        <v>546</v>
      </c>
      <c r="D69" s="14"/>
      <c r="E69" s="14"/>
      <c r="F69" s="14">
        <v>1176</v>
      </c>
      <c r="G69" s="14">
        <f t="shared" si="2"/>
        <v>215.3846153846154</v>
      </c>
      <c r="H69" s="14">
        <f t="shared" si="3"/>
        <v>630</v>
      </c>
      <c r="I69" s="29"/>
      <c r="J69" s="30"/>
    </row>
    <row r="70" spans="1:10" s="31" customFormat="1" ht="48" customHeight="1">
      <c r="A70" s="57" t="s">
        <v>88</v>
      </c>
      <c r="B70" s="45" t="s">
        <v>164</v>
      </c>
      <c r="C70" s="21">
        <v>188</v>
      </c>
      <c r="D70" s="14"/>
      <c r="E70" s="14"/>
      <c r="F70" s="14">
        <v>190.2</v>
      </c>
      <c r="G70" s="14">
        <f>F70/C70*100</f>
        <v>101.17021276595743</v>
      </c>
      <c r="H70" s="14">
        <f>SUM(F70-C70)</f>
        <v>2.1999999999999886</v>
      </c>
      <c r="I70" s="29"/>
      <c r="J70" s="30"/>
    </row>
    <row r="71" spans="1:10" s="31" customFormat="1" ht="78" customHeight="1">
      <c r="A71" s="57" t="s">
        <v>89</v>
      </c>
      <c r="B71" s="45" t="s">
        <v>165</v>
      </c>
      <c r="C71" s="21">
        <v>814</v>
      </c>
      <c r="D71" s="14"/>
      <c r="E71" s="14"/>
      <c r="F71" s="14">
        <v>873.5</v>
      </c>
      <c r="G71" s="14">
        <f>F71/C71*100</f>
        <v>107.30958230958232</v>
      </c>
      <c r="H71" s="14">
        <f>SUM(F71-C71)</f>
        <v>59.5</v>
      </c>
      <c r="I71" s="29"/>
      <c r="J71" s="30"/>
    </row>
    <row r="72" spans="1:10" s="31" customFormat="1" ht="64.5" customHeight="1">
      <c r="A72" s="57" t="s">
        <v>90</v>
      </c>
      <c r="B72" s="32" t="s">
        <v>166</v>
      </c>
      <c r="C72" s="21">
        <v>7709.1</v>
      </c>
      <c r="D72" s="14"/>
      <c r="E72" s="14"/>
      <c r="F72" s="14">
        <v>8248.9</v>
      </c>
      <c r="G72" s="14">
        <f t="shared" si="2"/>
        <v>107.00211438429908</v>
      </c>
      <c r="H72" s="14">
        <f t="shared" si="3"/>
        <v>539.7999999999993</v>
      </c>
      <c r="I72" s="29"/>
      <c r="J72" s="30"/>
    </row>
    <row r="73" spans="1:10" s="31" customFormat="1" ht="80.25" customHeight="1">
      <c r="A73" s="57" t="s">
        <v>167</v>
      </c>
      <c r="B73" s="32" t="s">
        <v>168</v>
      </c>
      <c r="C73" s="21">
        <v>81</v>
      </c>
      <c r="D73" s="14"/>
      <c r="E73" s="14"/>
      <c r="F73" s="14">
        <v>82</v>
      </c>
      <c r="G73" s="14">
        <f t="shared" si="2"/>
        <v>101.23456790123457</v>
      </c>
      <c r="H73" s="14">
        <f t="shared" si="3"/>
        <v>1</v>
      </c>
      <c r="I73" s="29"/>
      <c r="J73" s="30"/>
    </row>
    <row r="74" spans="1:10" s="31" customFormat="1" ht="53.25" customHeight="1">
      <c r="A74" s="57" t="s">
        <v>91</v>
      </c>
      <c r="B74" s="32" t="s">
        <v>169</v>
      </c>
      <c r="C74" s="21">
        <v>3610.9</v>
      </c>
      <c r="D74" s="14"/>
      <c r="E74" s="14"/>
      <c r="F74" s="14">
        <v>3994.6</v>
      </c>
      <c r="G74" s="14">
        <f t="shared" si="2"/>
        <v>110.62615968318148</v>
      </c>
      <c r="H74" s="14">
        <f t="shared" si="3"/>
        <v>383.6999999999998</v>
      </c>
      <c r="I74" s="29"/>
      <c r="J74" s="30"/>
    </row>
    <row r="75" spans="1:10" s="50" customFormat="1" ht="15.75">
      <c r="A75" s="57" t="s">
        <v>92</v>
      </c>
      <c r="B75" s="79" t="s">
        <v>170</v>
      </c>
      <c r="C75" s="44">
        <f>SUM(C76:C77)</f>
        <v>0</v>
      </c>
      <c r="D75" s="44">
        <f>SUM(D76:D77)</f>
        <v>0</v>
      </c>
      <c r="E75" s="44">
        <f>SUM(E76:E77)</f>
        <v>0</v>
      </c>
      <c r="F75" s="44">
        <f>SUM(F76:F77)</f>
        <v>1191</v>
      </c>
      <c r="G75" s="44">
        <v>0</v>
      </c>
      <c r="H75" s="44">
        <f t="shared" si="3"/>
        <v>1191</v>
      </c>
      <c r="I75" s="48"/>
      <c r="J75" s="49"/>
    </row>
    <row r="76" spans="1:10" s="31" customFormat="1" ht="39.75" customHeight="1">
      <c r="A76" s="57" t="s">
        <v>93</v>
      </c>
      <c r="B76" s="19" t="s">
        <v>171</v>
      </c>
      <c r="C76" s="28">
        <v>0</v>
      </c>
      <c r="D76" s="28"/>
      <c r="E76" s="28"/>
      <c r="F76" s="28">
        <v>0</v>
      </c>
      <c r="G76" s="44"/>
      <c r="H76" s="28">
        <f t="shared" si="3"/>
        <v>0</v>
      </c>
      <c r="I76" s="29"/>
      <c r="J76" s="30"/>
    </row>
    <row r="77" spans="1:10" s="31" customFormat="1" ht="42.75" customHeight="1">
      <c r="A77" s="57" t="s">
        <v>94</v>
      </c>
      <c r="B77" s="19" t="s">
        <v>172</v>
      </c>
      <c r="C77" s="28">
        <v>0</v>
      </c>
      <c r="D77" s="28"/>
      <c r="E77" s="28"/>
      <c r="F77" s="28">
        <v>1191</v>
      </c>
      <c r="G77" s="28"/>
      <c r="H77" s="28">
        <f t="shared" si="3"/>
        <v>1191</v>
      </c>
      <c r="I77" s="29"/>
      <c r="J77" s="30"/>
    </row>
    <row r="78" spans="1:10" ht="69" customHeight="1">
      <c r="A78" s="57" t="s">
        <v>95</v>
      </c>
      <c r="B78" s="45" t="s">
        <v>45</v>
      </c>
      <c r="C78" s="14">
        <v>0</v>
      </c>
      <c r="D78" s="14"/>
      <c r="E78" s="14"/>
      <c r="F78" s="14">
        <v>0</v>
      </c>
      <c r="G78" s="28"/>
      <c r="H78" s="14">
        <f t="shared" si="3"/>
        <v>0</v>
      </c>
      <c r="J78" s="11"/>
    </row>
    <row r="79" spans="1:10" ht="66" customHeight="1">
      <c r="A79" s="57" t="s">
        <v>96</v>
      </c>
      <c r="B79" s="32" t="s">
        <v>173</v>
      </c>
      <c r="C79" s="14">
        <v>0</v>
      </c>
      <c r="D79" s="14"/>
      <c r="E79" s="14"/>
      <c r="F79" s="14">
        <v>-665.4</v>
      </c>
      <c r="G79" s="28"/>
      <c r="H79" s="14">
        <f t="shared" si="3"/>
        <v>-665.4</v>
      </c>
      <c r="J79" s="11"/>
    </row>
    <row r="80" spans="1:10" ht="23.25" customHeight="1">
      <c r="A80" s="52"/>
      <c r="B80" s="17" t="s">
        <v>41</v>
      </c>
      <c r="C80" s="22">
        <f>SUM(C16+C24+C28+C32+C34+C39+C44+C51+C53+C55+C59+C75+C78+C79)</f>
        <v>1059308.1</v>
      </c>
      <c r="D80" s="22">
        <f>SUM(D16+D24+D28+D32+D34+D39+D44+D51+D53+D55+D59+D75+D78+D79)</f>
        <v>0</v>
      </c>
      <c r="E80" s="22">
        <f>SUM(E16+E24+E28+E32+E34+E39+E44+E51+E53+E55+E59+E75+E78+E79)</f>
        <v>0</v>
      </c>
      <c r="F80" s="22">
        <f>SUM(F16+F24+F28+F32+F34+F39+F44+F51+F53+F55+F59+F75+F78+F79)</f>
        <v>1101212.76</v>
      </c>
      <c r="G80" s="22">
        <f>F80/C80*100</f>
        <v>103.95585193769404</v>
      </c>
      <c r="H80" s="22">
        <f>F80-C80</f>
        <v>41904.659999999916</v>
      </c>
      <c r="I80" s="12"/>
      <c r="J80" s="12"/>
    </row>
    <row r="81" spans="1:9" ht="15.75">
      <c r="A81" s="52"/>
      <c r="B81" s="17" t="s">
        <v>3</v>
      </c>
      <c r="C81" s="22">
        <f>SUM(C108:C132)</f>
        <v>527247.8999999999</v>
      </c>
      <c r="D81" s="22">
        <f>SUM(D108:D132)</f>
        <v>0</v>
      </c>
      <c r="E81" s="22">
        <f>SUM(E108:E132)</f>
        <v>0</v>
      </c>
      <c r="F81" s="22">
        <f>SUM(F108:F132)</f>
        <v>506521.39999999997</v>
      </c>
      <c r="G81" s="22">
        <f>F81/C81*100</f>
        <v>96.06892696964749</v>
      </c>
      <c r="H81" s="22">
        <f>F81-C81</f>
        <v>-20726.49999999994</v>
      </c>
      <c r="I81" s="11"/>
    </row>
    <row r="82" spans="1:9" ht="15.75" hidden="1">
      <c r="A82" s="52"/>
      <c r="B82" s="20" t="s">
        <v>4</v>
      </c>
      <c r="C82" s="21"/>
      <c r="D82" s="14"/>
      <c r="E82" s="14"/>
      <c r="F82" s="14"/>
      <c r="G82" s="22" t="e">
        <f aca="true" t="shared" si="4" ref="G82:G132">F82/C82*100</f>
        <v>#DIV/0!</v>
      </c>
      <c r="H82" s="22">
        <f aca="true" t="shared" si="5" ref="H82:H132">F82-C82</f>
        <v>0</v>
      </c>
      <c r="I82" s="26"/>
    </row>
    <row r="83" spans="1:9" ht="81" customHeight="1" hidden="1">
      <c r="A83" s="52"/>
      <c r="B83" s="37" t="s">
        <v>19</v>
      </c>
      <c r="C83" s="35">
        <f>1650+1650+1918-268-486.7+1536.7+600</f>
        <v>6600</v>
      </c>
      <c r="D83" s="35">
        <f>1762136+1764782+1764782+2100000+2056050+2056050+2068629+2071736+2071735+1763882+1763909+1763909</f>
        <v>23007600</v>
      </c>
      <c r="E83" s="35">
        <v>1763.88</v>
      </c>
      <c r="F83" s="36">
        <v>5949.4</v>
      </c>
      <c r="G83" s="22">
        <f t="shared" si="4"/>
        <v>90.14242424242424</v>
      </c>
      <c r="H83" s="22">
        <f t="shared" si="5"/>
        <v>-650.6000000000004</v>
      </c>
      <c r="I83" s="26"/>
    </row>
    <row r="84" spans="1:9" ht="47.25" hidden="1">
      <c r="A84" s="52"/>
      <c r="B84" s="37" t="s">
        <v>20</v>
      </c>
      <c r="C84" s="35">
        <v>3000</v>
      </c>
      <c r="D84" s="35">
        <f>7000000</f>
        <v>7000000</v>
      </c>
      <c r="E84" s="35">
        <v>0</v>
      </c>
      <c r="F84" s="36">
        <v>3000</v>
      </c>
      <c r="G84" s="22">
        <f t="shared" si="4"/>
        <v>100</v>
      </c>
      <c r="H84" s="22">
        <f t="shared" si="5"/>
        <v>0</v>
      </c>
      <c r="I84" s="11"/>
    </row>
    <row r="85" spans="1:8" ht="45" customHeight="1" hidden="1">
      <c r="A85" s="52"/>
      <c r="B85" s="37" t="s">
        <v>21</v>
      </c>
      <c r="C85" s="35">
        <f>737.4+13029.98+484.32</f>
        <v>14251.699999999999</v>
      </c>
      <c r="D85" s="35">
        <v>600000</v>
      </c>
      <c r="E85" s="35">
        <v>0</v>
      </c>
      <c r="F85" s="36">
        <v>14251.7</v>
      </c>
      <c r="G85" s="22">
        <f t="shared" si="4"/>
        <v>100.00000000000003</v>
      </c>
      <c r="H85" s="22">
        <f t="shared" si="5"/>
        <v>0</v>
      </c>
    </row>
    <row r="86" spans="1:8" ht="48.75" customHeight="1" hidden="1">
      <c r="A86" s="52"/>
      <c r="B86" s="37" t="s">
        <v>22</v>
      </c>
      <c r="C86" s="35">
        <f>326+379.7</f>
        <v>705.7</v>
      </c>
      <c r="D86" s="35">
        <f>1688200+218600+983200+442800+497800+426800+481500+453000+452200-33197.52</f>
        <v>5610902.48</v>
      </c>
      <c r="E86" s="35">
        <v>481.5</v>
      </c>
      <c r="F86" s="36">
        <v>705.7</v>
      </c>
      <c r="G86" s="22">
        <f t="shared" si="4"/>
        <v>100</v>
      </c>
      <c r="H86" s="22">
        <f t="shared" si="5"/>
        <v>0</v>
      </c>
    </row>
    <row r="87" spans="1:8" ht="120.75" customHeight="1" hidden="1">
      <c r="A87" s="52"/>
      <c r="B87" s="39" t="s">
        <v>23</v>
      </c>
      <c r="C87" s="35">
        <f>174149.1</f>
        <v>174149.1</v>
      </c>
      <c r="D87" s="35">
        <f>156400+55200+9200+82800+18400+9200</f>
        <v>331200</v>
      </c>
      <c r="E87" s="35">
        <v>9.2</v>
      </c>
      <c r="F87" s="36">
        <v>174149.1</v>
      </c>
      <c r="G87" s="22">
        <f t="shared" si="4"/>
        <v>100</v>
      </c>
      <c r="H87" s="22">
        <f t="shared" si="5"/>
        <v>0</v>
      </c>
    </row>
    <row r="88" spans="1:8" ht="86.25" customHeight="1" hidden="1">
      <c r="A88" s="52"/>
      <c r="B88" s="39" t="s">
        <v>24</v>
      </c>
      <c r="C88" s="35">
        <f>52213.1</f>
        <v>52213.1</v>
      </c>
      <c r="D88" s="35">
        <f>923597+1170000+1682606+1040869+1040869+1040868+1903915+994678+1524879-265313.96</f>
        <v>11056967.04</v>
      </c>
      <c r="E88" s="35">
        <v>994.68</v>
      </c>
      <c r="F88" s="36">
        <v>52213.1</v>
      </c>
      <c r="G88" s="22">
        <f t="shared" si="4"/>
        <v>100</v>
      </c>
      <c r="H88" s="22">
        <f t="shared" si="5"/>
        <v>0</v>
      </c>
    </row>
    <row r="89" spans="1:8" ht="39.75" customHeight="1" hidden="1">
      <c r="A89" s="52"/>
      <c r="B89" s="37" t="s">
        <v>17</v>
      </c>
      <c r="C89" s="35">
        <f>10400-5000+2600+39000+61.5+2300</f>
        <v>49361.5</v>
      </c>
      <c r="D89" s="35">
        <f>1147700+1000000+1000000+1500000+500000+850000+887300+400000+1100000+1100000+1243000+1087000+2265000-530288.76</f>
        <v>13549711.24</v>
      </c>
      <c r="E89" s="35">
        <v>1087</v>
      </c>
      <c r="F89" s="36">
        <v>45953.5</v>
      </c>
      <c r="G89" s="22">
        <f t="shared" si="4"/>
        <v>93.09583379759529</v>
      </c>
      <c r="H89" s="22">
        <f t="shared" si="5"/>
        <v>-3408</v>
      </c>
    </row>
    <row r="90" spans="1:8" ht="73.5" customHeight="1" hidden="1">
      <c r="A90" s="52"/>
      <c r="B90" s="37" t="s">
        <v>25</v>
      </c>
      <c r="C90" s="35">
        <v>42</v>
      </c>
      <c r="D90" s="35">
        <f>9355000+9355000+8515306+5108000+1606306+2640694+9355000+10194694+5108000+4247000+9355000+9355000+1761000+1050000+22889000+1700000+15000000+11676000+7968000+5108000+700000+1953000+5147000+2000000+2320000+2680000+10213000+2787000+2690000+16500000+12870000+6630000</f>
        <v>217837000</v>
      </c>
      <c r="E90" s="35">
        <v>7000</v>
      </c>
      <c r="F90" s="36">
        <v>42</v>
      </c>
      <c r="G90" s="22">
        <f t="shared" si="4"/>
        <v>100</v>
      </c>
      <c r="H90" s="22">
        <f t="shared" si="5"/>
        <v>0</v>
      </c>
    </row>
    <row r="91" spans="1:8" ht="31.5" hidden="1">
      <c r="A91" s="52"/>
      <c r="B91" s="37" t="s">
        <v>26</v>
      </c>
      <c r="C91" s="35">
        <f>900-900</f>
        <v>0</v>
      </c>
      <c r="D91" s="35">
        <f>434232+434884+434884+801864+803068+803068+803068+802466+802466+434334+434333+434333</f>
        <v>7423000</v>
      </c>
      <c r="E91" s="35">
        <v>434.33</v>
      </c>
      <c r="F91" s="36">
        <v>0</v>
      </c>
      <c r="G91" s="22" t="e">
        <f t="shared" si="4"/>
        <v>#DIV/0!</v>
      </c>
      <c r="H91" s="22">
        <f t="shared" si="5"/>
        <v>0</v>
      </c>
    </row>
    <row r="92" spans="1:8" ht="60" customHeight="1" hidden="1">
      <c r="A92" s="52"/>
      <c r="B92" s="37" t="s">
        <v>27</v>
      </c>
      <c r="C92" s="35">
        <f>156.4+82.8+10.17+129.76+119.79-119.79+119.79+62.66+30.5</f>
        <v>592.08</v>
      </c>
      <c r="D92" s="35">
        <f>987012+988494+988494+987012+988494+988494+987901+988050+562320-2320</f>
        <v>8463951</v>
      </c>
      <c r="E92" s="35">
        <v>0</v>
      </c>
      <c r="F92" s="36">
        <v>592.08</v>
      </c>
      <c r="G92" s="22">
        <f t="shared" si="4"/>
        <v>100</v>
      </c>
      <c r="H92" s="22">
        <f t="shared" si="5"/>
        <v>0</v>
      </c>
    </row>
    <row r="93" spans="1:8" ht="75.75" customHeight="1" hidden="1">
      <c r="A93" s="52"/>
      <c r="B93" s="37" t="s">
        <v>28</v>
      </c>
      <c r="C93" s="35">
        <f>2700+3630+1919.2+2168.9</f>
        <v>10418.1</v>
      </c>
      <c r="D93" s="35">
        <f>19680+19710+19710+19503+19799+19798+19698+19701+19701+19667+19667+19666</f>
        <v>236300</v>
      </c>
      <c r="E93" s="35">
        <v>19.67</v>
      </c>
      <c r="F93" s="36">
        <v>10418.1</v>
      </c>
      <c r="G93" s="22">
        <f t="shared" si="4"/>
        <v>100</v>
      </c>
      <c r="H93" s="22">
        <f t="shared" si="5"/>
        <v>0</v>
      </c>
    </row>
    <row r="94" spans="1:8" ht="60.75" customHeight="1" hidden="1">
      <c r="A94" s="52"/>
      <c r="B94" s="37" t="s">
        <v>29</v>
      </c>
      <c r="C94" s="35">
        <f>511+146.1+366.39+144.97+362.7</f>
        <v>1531.16</v>
      </c>
      <c r="D94" s="35">
        <f>42805+85412+3150+25022-33697.54</f>
        <v>122691.45999999999</v>
      </c>
      <c r="E94" s="35">
        <v>85.41</v>
      </c>
      <c r="F94" s="36">
        <v>1531.16</v>
      </c>
      <c r="G94" s="22">
        <f t="shared" si="4"/>
        <v>100</v>
      </c>
      <c r="H94" s="22">
        <f t="shared" si="5"/>
        <v>0</v>
      </c>
    </row>
    <row r="95" spans="1:8" ht="47.25" hidden="1">
      <c r="A95" s="52"/>
      <c r="B95" s="37" t="s">
        <v>16</v>
      </c>
      <c r="C95" s="35">
        <f>4689+4689+3126+700+3126</f>
        <v>16330</v>
      </c>
      <c r="D95" s="35">
        <f>10600+10585+10515+8654+11523+11523+10564+10568+10568+10533+10534+10533</f>
        <v>126700</v>
      </c>
      <c r="E95" s="35">
        <v>10.53</v>
      </c>
      <c r="F95" s="36">
        <v>15826</v>
      </c>
      <c r="G95" s="22">
        <f t="shared" si="4"/>
        <v>96.91365584813228</v>
      </c>
      <c r="H95" s="22">
        <f t="shared" si="5"/>
        <v>-504</v>
      </c>
    </row>
    <row r="96" spans="1:8" ht="40.5" customHeight="1" hidden="1">
      <c r="A96" s="52"/>
      <c r="B96" s="37" t="s">
        <v>30</v>
      </c>
      <c r="C96" s="35">
        <f>61650.4-16-140.4+82280+44729+60153+7941.3</f>
        <v>256597.3</v>
      </c>
      <c r="D96" s="35">
        <f>401000+90000+364786-239433.19</f>
        <v>616352.81</v>
      </c>
      <c r="E96" s="35">
        <v>90</v>
      </c>
      <c r="F96" s="36">
        <v>256597.3</v>
      </c>
      <c r="G96" s="22">
        <f t="shared" si="4"/>
        <v>100</v>
      </c>
      <c r="H96" s="22">
        <f t="shared" si="5"/>
        <v>0</v>
      </c>
    </row>
    <row r="97" spans="1:8" ht="31.5" hidden="1">
      <c r="A97" s="52"/>
      <c r="B97" s="37" t="s">
        <v>31</v>
      </c>
      <c r="C97" s="35">
        <f>1532+2759+997.59+3725.48+1508+389.9+208</f>
        <v>11119.97</v>
      </c>
      <c r="D97" s="35">
        <f>1762163+1299970+1004892+885127+1719981+1035794</f>
        <v>7707927</v>
      </c>
      <c r="E97" s="35">
        <v>1004.9</v>
      </c>
      <c r="F97" s="36">
        <v>11119.97</v>
      </c>
      <c r="G97" s="22">
        <f t="shared" si="4"/>
        <v>100</v>
      </c>
      <c r="H97" s="22">
        <f t="shared" si="5"/>
        <v>0</v>
      </c>
    </row>
    <row r="98" spans="1:8" ht="31.5" hidden="1">
      <c r="A98" s="52"/>
      <c r="B98" s="37" t="s">
        <v>31</v>
      </c>
      <c r="C98" s="35">
        <v>0</v>
      </c>
      <c r="D98" s="35">
        <f>220000+132000+1128679+35701+132000+522721+26775+423089+1297600+46383+460080+2867-9273.83</f>
        <v>4418621.17</v>
      </c>
      <c r="E98" s="35">
        <v>1104.59</v>
      </c>
      <c r="F98" s="36">
        <v>0</v>
      </c>
      <c r="G98" s="22" t="e">
        <f t="shared" si="4"/>
        <v>#DIV/0!</v>
      </c>
      <c r="H98" s="22">
        <f t="shared" si="5"/>
        <v>0</v>
      </c>
    </row>
    <row r="99" spans="1:9" ht="31.5" hidden="1">
      <c r="A99" s="52"/>
      <c r="B99" s="37" t="s">
        <v>32</v>
      </c>
      <c r="C99" s="35">
        <f>3024+3024+3024+3024+365</f>
        <v>12461</v>
      </c>
      <c r="D99" s="35">
        <f>2100000+900000</f>
        <v>3000000</v>
      </c>
      <c r="E99" s="35">
        <v>0</v>
      </c>
      <c r="F99" s="36">
        <v>12461</v>
      </c>
      <c r="G99" s="22">
        <f t="shared" si="4"/>
        <v>100</v>
      </c>
      <c r="H99" s="22">
        <f t="shared" si="5"/>
        <v>0</v>
      </c>
      <c r="I99" s="11"/>
    </row>
    <row r="100" spans="1:9" ht="47.25" hidden="1">
      <c r="A100" s="52"/>
      <c r="B100" s="37" t="s">
        <v>33</v>
      </c>
      <c r="C100" s="35">
        <f>122.6+122.6+122.6+122.5</f>
        <v>490.29999999999995</v>
      </c>
      <c r="D100" s="35">
        <f>590160+9915444+3305148+260172+780516</f>
        <v>14851440</v>
      </c>
      <c r="E100" s="35"/>
      <c r="F100" s="36">
        <v>490.3</v>
      </c>
      <c r="G100" s="22">
        <f t="shared" si="4"/>
        <v>100.00000000000003</v>
      </c>
      <c r="H100" s="22">
        <f t="shared" si="5"/>
        <v>0</v>
      </c>
      <c r="I100" s="11"/>
    </row>
    <row r="101" spans="1:9" ht="110.25" hidden="1">
      <c r="A101" s="52"/>
      <c r="B101" s="37" t="s">
        <v>34</v>
      </c>
      <c r="C101" s="35">
        <f>81.36+191.32+234.12+188.85</f>
        <v>695.65</v>
      </c>
      <c r="D101" s="35">
        <f>2100000+5900000+1400000+250000+6000000+3999946+2400000+1453300+432400-323-43</f>
        <v>23935280</v>
      </c>
      <c r="E101" s="35">
        <v>6000</v>
      </c>
      <c r="F101" s="36">
        <v>695.65</v>
      </c>
      <c r="G101" s="22">
        <f t="shared" si="4"/>
        <v>100</v>
      </c>
      <c r="H101" s="22">
        <f t="shared" si="5"/>
        <v>0</v>
      </c>
      <c r="I101" s="1"/>
    </row>
    <row r="102" spans="1:8" ht="47.25" hidden="1">
      <c r="A102" s="52"/>
      <c r="B102" s="37" t="s">
        <v>35</v>
      </c>
      <c r="C102" s="35">
        <f>40.9+40.9+40.9+4+49.6-4</f>
        <v>172.29999999999998</v>
      </c>
      <c r="D102" s="35">
        <f>3125000</f>
        <v>3125000</v>
      </c>
      <c r="E102" s="35">
        <v>0</v>
      </c>
      <c r="F102" s="36">
        <v>172.3</v>
      </c>
      <c r="G102" s="22">
        <f t="shared" si="4"/>
        <v>100.00000000000003</v>
      </c>
      <c r="H102" s="22">
        <f t="shared" si="5"/>
        <v>0</v>
      </c>
    </row>
    <row r="103" spans="1:8" ht="47.25" hidden="1">
      <c r="A103" s="52"/>
      <c r="B103" s="37" t="s">
        <v>36</v>
      </c>
      <c r="C103" s="35">
        <f>220.8+220.8+220.8+220.7</f>
        <v>883.1000000000001</v>
      </c>
      <c r="D103" s="35">
        <f>527142+18590+1198000+2500000+969300+413000-18590</f>
        <v>5607442</v>
      </c>
      <c r="E103" s="35">
        <v>1198</v>
      </c>
      <c r="F103" s="36">
        <v>883.1</v>
      </c>
      <c r="G103" s="22">
        <f t="shared" si="4"/>
        <v>99.99999999999999</v>
      </c>
      <c r="H103" s="22">
        <f t="shared" si="5"/>
        <v>0</v>
      </c>
    </row>
    <row r="104" spans="1:8" ht="31.5" hidden="1">
      <c r="A104" s="52"/>
      <c r="B104" s="37" t="s">
        <v>37</v>
      </c>
      <c r="C104" s="35">
        <f>144+386.6+171.32+650.1+300.15</f>
        <v>1652.17</v>
      </c>
      <c r="D104" s="40"/>
      <c r="E104" s="40"/>
      <c r="F104" s="36">
        <v>1652.17</v>
      </c>
      <c r="G104" s="22">
        <f t="shared" si="4"/>
        <v>100</v>
      </c>
      <c r="H104" s="22">
        <f t="shared" si="5"/>
        <v>0</v>
      </c>
    </row>
    <row r="105" spans="1:8" ht="47.25" hidden="1">
      <c r="A105" s="52"/>
      <c r="B105" s="37" t="s">
        <v>38</v>
      </c>
      <c r="C105" s="35">
        <f>3000-3000</f>
        <v>0</v>
      </c>
      <c r="D105" s="40"/>
      <c r="E105" s="40"/>
      <c r="F105" s="36">
        <f>ROUND(E105/1000,2)</f>
        <v>0</v>
      </c>
      <c r="G105" s="22" t="e">
        <f t="shared" si="4"/>
        <v>#DIV/0!</v>
      </c>
      <c r="H105" s="22">
        <f t="shared" si="5"/>
        <v>0</v>
      </c>
    </row>
    <row r="106" spans="1:8" ht="31.5" hidden="1">
      <c r="A106" s="52"/>
      <c r="B106" s="37" t="s">
        <v>39</v>
      </c>
      <c r="C106" s="35">
        <f>1926.98+1870.63+2169.02+2500+1000</f>
        <v>9466.630000000001</v>
      </c>
      <c r="D106" s="40"/>
      <c r="E106" s="40"/>
      <c r="F106" s="36">
        <v>9466.63</v>
      </c>
      <c r="G106" s="22">
        <f t="shared" si="4"/>
        <v>99.99999999999997</v>
      </c>
      <c r="H106" s="22">
        <f t="shared" si="5"/>
        <v>0</v>
      </c>
    </row>
    <row r="107" spans="1:8" ht="47.25" hidden="1">
      <c r="A107" s="52"/>
      <c r="B107" s="37" t="s">
        <v>40</v>
      </c>
      <c r="C107" s="35">
        <f>5000+28.9+523.61+244.15+4500</f>
        <v>10296.66</v>
      </c>
      <c r="D107" s="40"/>
      <c r="E107" s="40"/>
      <c r="F107" s="36">
        <v>10296.66</v>
      </c>
      <c r="G107" s="22">
        <f t="shared" si="4"/>
        <v>100</v>
      </c>
      <c r="H107" s="22">
        <f t="shared" si="5"/>
        <v>0</v>
      </c>
    </row>
    <row r="108" spans="1:8" ht="51" customHeight="1">
      <c r="A108" s="57" t="s">
        <v>177</v>
      </c>
      <c r="B108" s="45" t="s">
        <v>175</v>
      </c>
      <c r="C108" s="58">
        <v>10000</v>
      </c>
      <c r="D108" s="59"/>
      <c r="E108" s="59"/>
      <c r="F108" s="59">
        <v>10000</v>
      </c>
      <c r="G108" s="14">
        <f t="shared" si="4"/>
        <v>100</v>
      </c>
      <c r="H108" s="14">
        <f t="shared" si="5"/>
        <v>0</v>
      </c>
    </row>
    <row r="109" spans="1:8" ht="48" customHeight="1">
      <c r="A109" s="57" t="s">
        <v>98</v>
      </c>
      <c r="B109" s="45" t="s">
        <v>176</v>
      </c>
      <c r="C109" s="58">
        <v>13016.6</v>
      </c>
      <c r="D109" s="59"/>
      <c r="E109" s="59"/>
      <c r="F109" s="59">
        <v>13016.6</v>
      </c>
      <c r="G109" s="14">
        <f t="shared" si="4"/>
        <v>100</v>
      </c>
      <c r="H109" s="14">
        <f t="shared" si="5"/>
        <v>0</v>
      </c>
    </row>
    <row r="110" spans="1:8" ht="69.75" customHeight="1">
      <c r="A110" s="57" t="s">
        <v>97</v>
      </c>
      <c r="B110" s="45" t="s">
        <v>99</v>
      </c>
      <c r="C110" s="58">
        <v>2733.3</v>
      </c>
      <c r="D110" s="59"/>
      <c r="E110" s="59"/>
      <c r="F110" s="59">
        <v>2702.5</v>
      </c>
      <c r="G110" s="14">
        <f t="shared" si="4"/>
        <v>98.87315698971938</v>
      </c>
      <c r="H110" s="14">
        <f t="shared" si="5"/>
        <v>-30.800000000000182</v>
      </c>
    </row>
    <row r="111" spans="1:8" ht="78.75">
      <c r="A111" s="57" t="s">
        <v>178</v>
      </c>
      <c r="B111" s="45" t="s">
        <v>179</v>
      </c>
      <c r="C111" s="58">
        <v>6286.6</v>
      </c>
      <c r="D111" s="59"/>
      <c r="E111" s="59"/>
      <c r="F111" s="59">
        <v>5890.3</v>
      </c>
      <c r="G111" s="14">
        <f t="shared" si="4"/>
        <v>93.69611554735468</v>
      </c>
      <c r="H111" s="14">
        <f t="shared" si="5"/>
        <v>-396.3000000000002</v>
      </c>
    </row>
    <row r="112" spans="1:8" ht="132.75" customHeight="1">
      <c r="A112" s="57" t="s">
        <v>180</v>
      </c>
      <c r="B112" s="51" t="s">
        <v>181</v>
      </c>
      <c r="C112" s="58">
        <v>68561.4</v>
      </c>
      <c r="D112" s="59"/>
      <c r="E112" s="59"/>
      <c r="F112" s="59">
        <v>68561.4</v>
      </c>
      <c r="G112" s="14">
        <f t="shared" si="4"/>
        <v>100</v>
      </c>
      <c r="H112" s="14">
        <f t="shared" si="5"/>
        <v>0</v>
      </c>
    </row>
    <row r="113" spans="1:8" ht="31.5">
      <c r="A113" s="57" t="s">
        <v>182</v>
      </c>
      <c r="B113" s="51" t="s">
        <v>17</v>
      </c>
      <c r="C113" s="58">
        <v>41176.5</v>
      </c>
      <c r="D113" s="59"/>
      <c r="E113" s="59"/>
      <c r="F113" s="59">
        <v>32777.8</v>
      </c>
      <c r="G113" s="14">
        <f t="shared" si="4"/>
        <v>79.60317171202021</v>
      </c>
      <c r="H113" s="14">
        <f t="shared" si="5"/>
        <v>-8398.699999999997</v>
      </c>
    </row>
    <row r="114" spans="1:8" ht="63">
      <c r="A114" s="57" t="s">
        <v>183</v>
      </c>
      <c r="B114" s="45" t="s">
        <v>184</v>
      </c>
      <c r="C114" s="58">
        <v>303</v>
      </c>
      <c r="D114" s="59"/>
      <c r="E114" s="59"/>
      <c r="F114" s="59">
        <v>303</v>
      </c>
      <c r="G114" s="14">
        <f t="shared" si="4"/>
        <v>100</v>
      </c>
      <c r="H114" s="14">
        <f t="shared" si="5"/>
        <v>0</v>
      </c>
    </row>
    <row r="115" spans="1:8" ht="78.75">
      <c r="A115" s="57" t="s">
        <v>185</v>
      </c>
      <c r="B115" s="45" t="s">
        <v>186</v>
      </c>
      <c r="C115" s="58">
        <v>496.3</v>
      </c>
      <c r="D115" s="59"/>
      <c r="E115" s="59"/>
      <c r="F115" s="59">
        <v>496.3</v>
      </c>
      <c r="G115" s="14">
        <f t="shared" si="4"/>
        <v>100</v>
      </c>
      <c r="H115" s="14">
        <f t="shared" si="5"/>
        <v>0</v>
      </c>
    </row>
    <row r="116" spans="1:8" ht="47.25">
      <c r="A116" s="57" t="s">
        <v>187</v>
      </c>
      <c r="B116" s="45" t="s">
        <v>188</v>
      </c>
      <c r="C116" s="58">
        <v>9924.3</v>
      </c>
      <c r="D116" s="59"/>
      <c r="E116" s="59"/>
      <c r="F116" s="59">
        <v>9699.1</v>
      </c>
      <c r="G116" s="14">
        <f t="shared" si="4"/>
        <v>97.73082232500026</v>
      </c>
      <c r="H116" s="14">
        <f t="shared" si="5"/>
        <v>-225.1999999999989</v>
      </c>
    </row>
    <row r="117" spans="1:8" ht="63">
      <c r="A117" s="57" t="s">
        <v>189</v>
      </c>
      <c r="B117" s="45" t="s">
        <v>190</v>
      </c>
      <c r="C117" s="58">
        <v>2114.9</v>
      </c>
      <c r="D117" s="59"/>
      <c r="E117" s="59"/>
      <c r="F117" s="59">
        <v>2114.9</v>
      </c>
      <c r="G117" s="14">
        <f t="shared" si="4"/>
        <v>100</v>
      </c>
      <c r="H117" s="14">
        <f t="shared" si="5"/>
        <v>0</v>
      </c>
    </row>
    <row r="118" spans="1:8" ht="63">
      <c r="A118" s="57" t="s">
        <v>191</v>
      </c>
      <c r="B118" s="45" t="s">
        <v>190</v>
      </c>
      <c r="C118" s="58">
        <v>272880.8</v>
      </c>
      <c r="D118" s="59"/>
      <c r="E118" s="59"/>
      <c r="F118" s="59">
        <v>268937.5</v>
      </c>
      <c r="G118" s="14">
        <f t="shared" si="4"/>
        <v>98.55493680757313</v>
      </c>
      <c r="H118" s="14">
        <f t="shared" si="5"/>
        <v>-3943.2999999999884</v>
      </c>
    </row>
    <row r="119" spans="1:8" ht="63">
      <c r="A119" s="57" t="s">
        <v>192</v>
      </c>
      <c r="B119" s="45" t="s">
        <v>190</v>
      </c>
      <c r="C119" s="58">
        <v>14789.4</v>
      </c>
      <c r="D119" s="59"/>
      <c r="E119" s="59"/>
      <c r="F119" s="59">
        <v>14746.1</v>
      </c>
      <c r="G119" s="14">
        <f t="shared" si="4"/>
        <v>99.70722274061153</v>
      </c>
      <c r="H119" s="14">
        <f t="shared" si="5"/>
        <v>-43.29999999999927</v>
      </c>
    </row>
    <row r="120" spans="1:8" ht="63">
      <c r="A120" s="57" t="s">
        <v>193</v>
      </c>
      <c r="B120" s="45" t="s">
        <v>190</v>
      </c>
      <c r="C120" s="58">
        <v>1092</v>
      </c>
      <c r="D120" s="59"/>
      <c r="E120" s="59"/>
      <c r="F120" s="59">
        <v>1092</v>
      </c>
      <c r="G120" s="14">
        <f t="shared" si="4"/>
        <v>100</v>
      </c>
      <c r="H120" s="14">
        <f t="shared" si="5"/>
        <v>0</v>
      </c>
    </row>
    <row r="121" spans="1:8" ht="63">
      <c r="A121" s="57" t="s">
        <v>194</v>
      </c>
      <c r="B121" s="45" t="s">
        <v>190</v>
      </c>
      <c r="C121" s="58">
        <v>873.2</v>
      </c>
      <c r="D121" s="59"/>
      <c r="E121" s="59"/>
      <c r="F121" s="59">
        <v>873.2</v>
      </c>
      <c r="G121" s="14">
        <f t="shared" si="4"/>
        <v>100</v>
      </c>
      <c r="H121" s="14">
        <f t="shared" si="5"/>
        <v>0</v>
      </c>
    </row>
    <row r="122" spans="1:8" ht="63">
      <c r="A122" s="57" t="s">
        <v>195</v>
      </c>
      <c r="B122" s="45" t="s">
        <v>190</v>
      </c>
      <c r="C122" s="58">
        <v>828</v>
      </c>
      <c r="D122" s="59"/>
      <c r="E122" s="59"/>
      <c r="F122" s="59">
        <v>828</v>
      </c>
      <c r="G122" s="14">
        <f t="shared" si="4"/>
        <v>100</v>
      </c>
      <c r="H122" s="14">
        <f t="shared" si="5"/>
        <v>0</v>
      </c>
    </row>
    <row r="123" spans="1:8" ht="63">
      <c r="A123" s="57" t="s">
        <v>196</v>
      </c>
      <c r="B123" s="45" t="s">
        <v>190</v>
      </c>
      <c r="C123" s="58">
        <v>273</v>
      </c>
      <c r="D123" s="59"/>
      <c r="E123" s="59"/>
      <c r="F123" s="59">
        <v>273</v>
      </c>
      <c r="G123" s="14">
        <f t="shared" si="4"/>
        <v>100</v>
      </c>
      <c r="H123" s="14">
        <f t="shared" si="5"/>
        <v>0</v>
      </c>
    </row>
    <row r="124" spans="1:8" ht="63">
      <c r="A124" s="57" t="s">
        <v>197</v>
      </c>
      <c r="B124" s="45" t="s">
        <v>190</v>
      </c>
      <c r="C124" s="58">
        <v>1501.5</v>
      </c>
      <c r="D124" s="59"/>
      <c r="E124" s="59"/>
      <c r="F124" s="59">
        <v>1501.5</v>
      </c>
      <c r="G124" s="14">
        <f t="shared" si="4"/>
        <v>100</v>
      </c>
      <c r="H124" s="14">
        <f t="shared" si="5"/>
        <v>0</v>
      </c>
    </row>
    <row r="125" spans="1:8" ht="78.75">
      <c r="A125" s="57" t="s">
        <v>198</v>
      </c>
      <c r="B125" s="45" t="s">
        <v>199</v>
      </c>
      <c r="C125" s="58">
        <v>954.4</v>
      </c>
      <c r="D125" s="59"/>
      <c r="E125" s="59"/>
      <c r="F125" s="59">
        <v>954.4</v>
      </c>
      <c r="G125" s="14">
        <f t="shared" si="4"/>
        <v>100</v>
      </c>
      <c r="H125" s="14">
        <f t="shared" si="5"/>
        <v>0</v>
      </c>
    </row>
    <row r="126" spans="1:8" ht="78.75">
      <c r="A126" s="57" t="s">
        <v>200</v>
      </c>
      <c r="B126" s="45" t="s">
        <v>199</v>
      </c>
      <c r="C126" s="58">
        <v>1303.8</v>
      </c>
      <c r="D126" s="59"/>
      <c r="E126" s="59"/>
      <c r="F126" s="59">
        <v>843.8</v>
      </c>
      <c r="G126" s="14">
        <f t="shared" si="4"/>
        <v>64.7185151096794</v>
      </c>
      <c r="H126" s="14">
        <f t="shared" si="5"/>
        <v>-460</v>
      </c>
    </row>
    <row r="127" spans="1:8" ht="78.75">
      <c r="A127" s="57" t="s">
        <v>201</v>
      </c>
      <c r="B127" s="45" t="s">
        <v>199</v>
      </c>
      <c r="C127" s="58">
        <v>24285.7</v>
      </c>
      <c r="D127" s="59"/>
      <c r="E127" s="59"/>
      <c r="F127" s="59">
        <v>18703.4</v>
      </c>
      <c r="G127" s="14">
        <f t="shared" si="4"/>
        <v>77.0140453023796</v>
      </c>
      <c r="H127" s="14">
        <f t="shared" si="5"/>
        <v>-5582.299999999999</v>
      </c>
    </row>
    <row r="128" spans="1:8" ht="110.25">
      <c r="A128" s="57" t="s">
        <v>202</v>
      </c>
      <c r="B128" s="45" t="s">
        <v>203</v>
      </c>
      <c r="C128" s="58">
        <v>13661</v>
      </c>
      <c r="D128" s="59"/>
      <c r="E128" s="59"/>
      <c r="F128" s="59">
        <v>13661</v>
      </c>
      <c r="G128" s="14">
        <f t="shared" si="4"/>
        <v>100</v>
      </c>
      <c r="H128" s="14">
        <f t="shared" si="5"/>
        <v>0</v>
      </c>
    </row>
    <row r="129" spans="1:8" ht="31.5">
      <c r="A129" s="57" t="s">
        <v>204</v>
      </c>
      <c r="B129" s="45" t="s">
        <v>17</v>
      </c>
      <c r="C129" s="58">
        <v>22898</v>
      </c>
      <c r="D129" s="59"/>
      <c r="E129" s="59"/>
      <c r="F129" s="59">
        <v>22898</v>
      </c>
      <c r="G129" s="14">
        <f t="shared" si="4"/>
        <v>100</v>
      </c>
      <c r="H129" s="14">
        <f t="shared" si="5"/>
        <v>0</v>
      </c>
    </row>
    <row r="130" spans="1:8" ht="78.75">
      <c r="A130" s="57" t="s">
        <v>205</v>
      </c>
      <c r="B130" s="45" t="s">
        <v>206</v>
      </c>
      <c r="C130" s="58">
        <v>641.1</v>
      </c>
      <c r="D130" s="59"/>
      <c r="E130" s="59"/>
      <c r="F130" s="59">
        <v>641.1</v>
      </c>
      <c r="G130" s="14">
        <f t="shared" si="4"/>
        <v>100</v>
      </c>
      <c r="H130" s="14">
        <f t="shared" si="5"/>
        <v>0</v>
      </c>
    </row>
    <row r="131" spans="1:8" ht="47.25">
      <c r="A131" s="57" t="s">
        <v>207</v>
      </c>
      <c r="B131" s="45" t="s">
        <v>208</v>
      </c>
      <c r="C131" s="58">
        <v>8834.1</v>
      </c>
      <c r="D131" s="59"/>
      <c r="E131" s="59"/>
      <c r="F131" s="59">
        <v>8834.1</v>
      </c>
      <c r="G131" s="14">
        <f t="shared" si="4"/>
        <v>100</v>
      </c>
      <c r="H131" s="14">
        <f t="shared" si="5"/>
        <v>0</v>
      </c>
    </row>
    <row r="132" spans="1:8" ht="47.25">
      <c r="A132" s="57" t="s">
        <v>209</v>
      </c>
      <c r="B132" s="45" t="s">
        <v>208</v>
      </c>
      <c r="C132" s="58">
        <v>7819</v>
      </c>
      <c r="D132" s="59"/>
      <c r="E132" s="59"/>
      <c r="F132" s="59">
        <v>6172.4</v>
      </c>
      <c r="G132" s="14">
        <f t="shared" si="4"/>
        <v>78.9410410538432</v>
      </c>
      <c r="H132" s="14">
        <f t="shared" si="5"/>
        <v>-1646.6000000000004</v>
      </c>
    </row>
    <row r="133" spans="2:8" ht="15.75">
      <c r="B133" s="15"/>
      <c r="C133" s="6"/>
      <c r="D133" s="6"/>
      <c r="E133" s="6"/>
      <c r="F133" s="6"/>
      <c r="G133" s="8"/>
      <c r="H133" s="6"/>
    </row>
    <row r="134" spans="2:8" ht="15.75">
      <c r="B134" s="15"/>
      <c r="C134" s="6"/>
      <c r="D134" s="6"/>
      <c r="E134" s="6"/>
      <c r="F134" s="6"/>
      <c r="G134" s="8"/>
      <c r="H134" s="6"/>
    </row>
    <row r="135" spans="2:8" ht="15.75">
      <c r="B135" s="15"/>
      <c r="C135" s="6"/>
      <c r="D135" s="6"/>
      <c r="E135" s="6"/>
      <c r="F135" s="6"/>
      <c r="G135" s="8"/>
      <c r="H135" s="6"/>
    </row>
    <row r="136" spans="2:8" ht="15.75">
      <c r="B136" s="15"/>
      <c r="C136" s="6"/>
      <c r="D136" s="6"/>
      <c r="E136" s="6"/>
      <c r="F136" s="6"/>
      <c r="G136" s="8"/>
      <c r="H136" s="6"/>
    </row>
    <row r="137" spans="2:8" ht="15.75">
      <c r="B137" s="15"/>
      <c r="C137" s="6"/>
      <c r="D137" s="6"/>
      <c r="E137" s="6"/>
      <c r="F137" s="6"/>
      <c r="G137" s="8"/>
      <c r="H137" s="6"/>
    </row>
    <row r="138" spans="2:8" ht="15.75">
      <c r="B138" s="15"/>
      <c r="C138" s="6"/>
      <c r="D138" s="6"/>
      <c r="E138" s="6"/>
      <c r="F138" s="6"/>
      <c r="G138" s="8"/>
      <c r="H138" s="6"/>
    </row>
    <row r="139" spans="2:8" ht="15.75">
      <c r="B139" s="15"/>
      <c r="C139" s="6"/>
      <c r="D139" s="6"/>
      <c r="E139" s="6"/>
      <c r="F139" s="6"/>
      <c r="G139" s="8"/>
      <c r="H139" s="6"/>
    </row>
    <row r="140" spans="2:8" ht="15.75">
      <c r="B140" s="15"/>
      <c r="C140" s="6"/>
      <c r="D140" s="6"/>
      <c r="E140" s="6"/>
      <c r="F140" s="6"/>
      <c r="G140" s="8"/>
      <c r="H140" s="6"/>
    </row>
    <row r="141" spans="2:8" ht="15.75">
      <c r="B141" s="15"/>
      <c r="C141" s="6"/>
      <c r="D141" s="6"/>
      <c r="E141" s="6"/>
      <c r="F141" s="6"/>
      <c r="G141" s="8"/>
      <c r="H141" s="6"/>
    </row>
    <row r="142" spans="2:8" ht="15.75">
      <c r="B142" s="15"/>
      <c r="C142" s="6"/>
      <c r="D142" s="6"/>
      <c r="E142" s="6"/>
      <c r="F142" s="6"/>
      <c r="G142" s="8"/>
      <c r="H142" s="6"/>
    </row>
    <row r="143" spans="2:8" ht="15.75">
      <c r="B143" s="15"/>
      <c r="C143" s="6"/>
      <c r="D143" s="6"/>
      <c r="E143" s="6"/>
      <c r="F143" s="6"/>
      <c r="G143" s="8"/>
      <c r="H143" s="6"/>
    </row>
    <row r="144" spans="2:8" ht="15.75">
      <c r="B144" s="15"/>
      <c r="C144" s="6"/>
      <c r="D144" s="6"/>
      <c r="E144" s="6"/>
      <c r="F144" s="6"/>
      <c r="G144" s="8"/>
      <c r="H144" s="6"/>
    </row>
    <row r="145" spans="2:8" ht="15.75">
      <c r="B145" s="15"/>
      <c r="C145" s="6"/>
      <c r="D145" s="6"/>
      <c r="E145" s="6"/>
      <c r="F145" s="6"/>
      <c r="G145" s="8"/>
      <c r="H145" s="6"/>
    </row>
  </sheetData>
  <sheetProtection/>
  <mergeCells count="8">
    <mergeCell ref="B9:G9"/>
    <mergeCell ref="C2:H2"/>
    <mergeCell ref="C1:H1"/>
    <mergeCell ref="C6:H6"/>
    <mergeCell ref="C5:H5"/>
    <mergeCell ref="C4:H4"/>
    <mergeCell ref="C3:H3"/>
    <mergeCell ref="A8:H8"/>
  </mergeCells>
  <printOptions horizontalCentered="1"/>
  <pageMargins left="0.6299212598425197" right="0" top="0.3937007874015748" bottom="0.3937007874015748" header="0" footer="0"/>
  <pageSetup horizontalDpi="600" verticalDpi="600" orientation="portrait" paperSize="9" scale="80" r:id="rId1"/>
  <rowBreaks count="2" manualBreakCount="2">
    <brk id="40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Титух</cp:lastModifiedBy>
  <cp:lastPrinted>2011-03-30T11:55:33Z</cp:lastPrinted>
  <dcterms:created xsi:type="dcterms:W3CDTF">1996-10-08T23:32:33Z</dcterms:created>
  <dcterms:modified xsi:type="dcterms:W3CDTF">2011-03-31T09:15:14Z</dcterms:modified>
  <cp:category/>
  <cp:version/>
  <cp:contentType/>
  <cp:contentStatus/>
</cp:coreProperties>
</file>